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dcb4fffedc2c4d/Documents/F. Ceddaha/Fusions acquisitions/"/>
    </mc:Choice>
  </mc:AlternateContent>
  <xr:revisionPtr revIDLastSave="0" documentId="8_{F7119337-EF9C-4807-A7D1-8EA32F50718A}" xr6:coauthVersionLast="47" xr6:coauthVersionMax="47" xr10:uidLastSave="{00000000-0000-0000-0000-000000000000}"/>
  <bookViews>
    <workbookView xWindow="-108" yWindow="-108" windowWidth="23256" windowHeight="12576" activeTab="3" xr2:uid="{94CE7966-1FA3-6A4B-B799-76B8DBE9044E}"/>
  </bookViews>
  <sheets>
    <sheet name="Etats financiers (Standard)" sheetId="8" state="hidden" r:id="rId1"/>
    <sheet name="Plan d'affaires initial" sheetId="10" r:id="rId2"/>
    <sheet name="Plan d'affaires alternatif" sheetId="12" r:id="rId3"/>
    <sheet name="Modèle DCF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3" l="1"/>
  <c r="J14" i="13"/>
  <c r="I14" i="13"/>
  <c r="H14" i="13"/>
  <c r="G14" i="13"/>
  <c r="F14" i="13"/>
  <c r="E14" i="13"/>
  <c r="J9" i="13"/>
  <c r="I9" i="13"/>
  <c r="H9" i="13"/>
  <c r="G9" i="13"/>
  <c r="F9" i="13"/>
  <c r="E9" i="13"/>
  <c r="J15" i="13"/>
  <c r="I15" i="13"/>
  <c r="H15" i="13"/>
  <c r="G15" i="13"/>
  <c r="F15" i="13"/>
  <c r="E15" i="13"/>
  <c r="E62" i="12"/>
  <c r="E59" i="12"/>
  <c r="F11" i="12"/>
  <c r="E118" i="10"/>
  <c r="E16" i="10"/>
  <c r="F7" i="12"/>
  <c r="I10" i="12"/>
  <c r="F58" i="12"/>
  <c r="G58" i="12" s="1"/>
  <c r="H58" i="12" s="1"/>
  <c r="I58" i="12" s="1"/>
  <c r="J58" i="12" s="1"/>
  <c r="K58" i="12" s="1"/>
  <c r="L58" i="12" s="1"/>
  <c r="F57" i="12"/>
  <c r="G57" i="12" s="1"/>
  <c r="H57" i="12" s="1"/>
  <c r="I57" i="12" s="1"/>
  <c r="J57" i="12" s="1"/>
  <c r="K57" i="12" s="1"/>
  <c r="L57" i="12" s="1"/>
  <c r="E20" i="12" l="1"/>
  <c r="E21" i="12"/>
  <c r="G11" i="12"/>
  <c r="H11" i="12" s="1"/>
  <c r="I11" i="12" s="1"/>
  <c r="J11" i="12" s="1"/>
  <c r="K11" i="12" s="1"/>
  <c r="L11" i="12" s="1"/>
  <c r="F9" i="12"/>
  <c r="G9" i="12" s="1"/>
  <c r="H9" i="12" s="1"/>
  <c r="I9" i="12" s="1"/>
  <c r="J9" i="12" s="1"/>
  <c r="K9" i="12" s="1"/>
  <c r="L9" i="12" s="1"/>
  <c r="G7" i="12"/>
  <c r="H7" i="12" l="1"/>
  <c r="I7" i="12" l="1"/>
  <c r="J7" i="12" l="1"/>
  <c r="E43" i="10"/>
  <c r="E41" i="10"/>
  <c r="E73" i="10"/>
  <c r="E18" i="10"/>
  <c r="E39" i="10" s="1"/>
  <c r="E107" i="10" l="1"/>
  <c r="E78" i="10"/>
  <c r="K7" i="12"/>
  <c r="L7" i="12" l="1"/>
  <c r="E19" i="13"/>
  <c r="F11" i="10"/>
  <c r="F7" i="10"/>
  <c r="F9" i="10"/>
  <c r="G9" i="10" s="1"/>
  <c r="K91" i="10"/>
  <c r="L91" i="10"/>
  <c r="E35" i="13"/>
  <c r="E40" i="13" s="1"/>
  <c r="E41" i="13" s="1"/>
  <c r="B3" i="13"/>
  <c r="B30" i="13" s="1"/>
  <c r="F6" i="13"/>
  <c r="F19" i="13" s="1"/>
  <c r="E79" i="12"/>
  <c r="D17" i="12"/>
  <c r="F98" i="8"/>
  <c r="G98" i="8"/>
  <c r="G112" i="8" s="1"/>
  <c r="H98" i="8"/>
  <c r="I98" i="8"/>
  <c r="I112" i="8" s="1"/>
  <c r="J98" i="8"/>
  <c r="E98" i="8"/>
  <c r="E112" i="8" s="1"/>
  <c r="E16" i="8"/>
  <c r="F16" i="8" s="1"/>
  <c r="E18" i="8"/>
  <c r="F19" i="8"/>
  <c r="E20" i="8"/>
  <c r="F21" i="8"/>
  <c r="I19" i="8"/>
  <c r="L108" i="8"/>
  <c r="L112" i="8" s="1"/>
  <c r="K108" i="8"/>
  <c r="K112" i="8"/>
  <c r="K128" i="8" s="1"/>
  <c r="J103" i="8"/>
  <c r="J112" i="8" s="1"/>
  <c r="J108" i="8"/>
  <c r="I103" i="8"/>
  <c r="H103" i="8"/>
  <c r="H112" i="8" s="1"/>
  <c r="G103" i="8"/>
  <c r="F103" i="8"/>
  <c r="F112" i="8" s="1"/>
  <c r="E103" i="8"/>
  <c r="J84" i="8"/>
  <c r="J99" i="8" s="1"/>
  <c r="J113" i="8" s="1"/>
  <c r="J78" i="8" s="1"/>
  <c r="I84" i="8"/>
  <c r="I99" i="8" s="1"/>
  <c r="I113" i="8" s="1"/>
  <c r="I78" i="8" s="1"/>
  <c r="E98" i="10"/>
  <c r="D44" i="10"/>
  <c r="D43" i="10"/>
  <c r="D42" i="10"/>
  <c r="D41" i="10"/>
  <c r="D40" i="10"/>
  <c r="D39" i="10"/>
  <c r="D38" i="10"/>
  <c r="L36" i="10"/>
  <c r="K36" i="10"/>
  <c r="J36" i="10"/>
  <c r="I36" i="10"/>
  <c r="H36" i="10"/>
  <c r="G36" i="10"/>
  <c r="F36" i="10"/>
  <c r="D36" i="10"/>
  <c r="D35" i="10"/>
  <c r="E174" i="8"/>
  <c r="E5" i="8"/>
  <c r="E48" i="8"/>
  <c r="E50" i="8"/>
  <c r="E45" i="8"/>
  <c r="E144" i="8" s="1"/>
  <c r="E25" i="8"/>
  <c r="E58" i="8" s="1"/>
  <c r="E59" i="8" s="1"/>
  <c r="E182" i="8"/>
  <c r="E193" i="8" s="1"/>
  <c r="E194" i="8" s="1"/>
  <c r="G210" i="8"/>
  <c r="H210" i="8" s="1"/>
  <c r="I210" i="8" s="1"/>
  <c r="J210" i="8" s="1"/>
  <c r="K210" i="8" s="1"/>
  <c r="L210" i="8" s="1"/>
  <c r="G211" i="8"/>
  <c r="H211" i="8" s="1"/>
  <c r="I211" i="8" s="1"/>
  <c r="J211" i="8" s="1"/>
  <c r="K211" i="8" s="1"/>
  <c r="L211" i="8" s="1"/>
  <c r="E166" i="8"/>
  <c r="E204" i="8" s="1"/>
  <c r="E205" i="8" s="1"/>
  <c r="E206" i="8" s="1"/>
  <c r="E80" i="8"/>
  <c r="E61" i="8"/>
  <c r="E47" i="8" s="1"/>
  <c r="E156" i="8" s="1"/>
  <c r="E159" i="8" s="1"/>
  <c r="F156" i="8" s="1"/>
  <c r="E32" i="8"/>
  <c r="E33" i="8"/>
  <c r="E35" i="8"/>
  <c r="E84" i="8"/>
  <c r="E99" i="8" s="1"/>
  <c r="E113" i="8" s="1"/>
  <c r="E78" i="8" s="1"/>
  <c r="E104" i="8"/>
  <c r="L6" i="8"/>
  <c r="K6" i="8"/>
  <c r="J6" i="8"/>
  <c r="I6" i="8"/>
  <c r="H6" i="8"/>
  <c r="G6" i="8"/>
  <c r="F6" i="8"/>
  <c r="B53" i="8"/>
  <c r="B92" i="8" s="1"/>
  <c r="J107" i="8"/>
  <c r="L7" i="8"/>
  <c r="K7" i="8"/>
  <c r="J7" i="8"/>
  <c r="I7" i="8"/>
  <c r="H7" i="8"/>
  <c r="G7" i="8"/>
  <c r="F7" i="8"/>
  <c r="E7" i="8"/>
  <c r="E169" i="8"/>
  <c r="F111" i="8"/>
  <c r="F84" i="8"/>
  <c r="F99" i="8" s="1"/>
  <c r="E44" i="8"/>
  <c r="F77" i="8"/>
  <c r="G111" i="8"/>
  <c r="G77" i="8" s="1"/>
  <c r="G84" i="8"/>
  <c r="G99" i="8" s="1"/>
  <c r="G113" i="8" s="1"/>
  <c r="G78" i="8" s="1"/>
  <c r="G104" i="8"/>
  <c r="H111" i="8"/>
  <c r="H77" i="8" s="1"/>
  <c r="H84" i="8"/>
  <c r="H99" i="8" s="1"/>
  <c r="H113" i="8" s="1"/>
  <c r="H78" i="8" s="1"/>
  <c r="H104" i="8"/>
  <c r="I111" i="8"/>
  <c r="I104" i="8"/>
  <c r="I77" i="8"/>
  <c r="J111" i="8"/>
  <c r="J104" i="8"/>
  <c r="J77" i="8"/>
  <c r="K111" i="8"/>
  <c r="K77" i="8" s="1"/>
  <c r="K113" i="8"/>
  <c r="K78" i="8" s="1"/>
  <c r="K76" i="8"/>
  <c r="L111" i="8"/>
  <c r="L77" i="8" s="1"/>
  <c r="L113" i="8"/>
  <c r="L78" i="8" s="1"/>
  <c r="E71" i="8"/>
  <c r="E157" i="8" s="1"/>
  <c r="E126" i="8"/>
  <c r="E158" i="8" s="1"/>
  <c r="E121" i="8"/>
  <c r="E140" i="8" s="1"/>
  <c r="E143" i="8" s="1"/>
  <c r="E127" i="8"/>
  <c r="E27" i="8"/>
  <c r="E36" i="8"/>
  <c r="B64" i="8"/>
  <c r="E168" i="8"/>
  <c r="E170" i="8"/>
  <c r="E102" i="8"/>
  <c r="E111" i="8" s="1"/>
  <c r="E77" i="8" s="1"/>
  <c r="B116" i="8"/>
  <c r="K84" i="8"/>
  <c r="L84" i="8"/>
  <c r="E167" i="8"/>
  <c r="E165" i="8"/>
  <c r="E163" i="8"/>
  <c r="D127" i="8"/>
  <c r="D126" i="8"/>
  <c r="E125" i="8"/>
  <c r="D125" i="8"/>
  <c r="E124" i="8"/>
  <c r="D124" i="8"/>
  <c r="E123" i="8"/>
  <c r="D123" i="8"/>
  <c r="E122" i="8"/>
  <c r="D122" i="8"/>
  <c r="D121" i="8"/>
  <c r="L119" i="8"/>
  <c r="K119" i="8"/>
  <c r="J119" i="8"/>
  <c r="I119" i="8"/>
  <c r="H119" i="8"/>
  <c r="G119" i="8"/>
  <c r="F119" i="8"/>
  <c r="E119" i="8"/>
  <c r="D119" i="8"/>
  <c r="D118" i="8"/>
  <c r="E74" i="8"/>
  <c r="E72" i="8"/>
  <c r="E69" i="8"/>
  <c r="E67" i="8"/>
  <c r="E46" i="8"/>
  <c r="E39" i="8"/>
  <c r="E38" i="8"/>
  <c r="E37" i="8"/>
  <c r="E34" i="8"/>
  <c r="E31" i="8"/>
  <c r="E30" i="8"/>
  <c r="E29" i="8"/>
  <c r="E28" i="8"/>
  <c r="F26" i="8"/>
  <c r="E8" i="8"/>
  <c r="E6" i="8"/>
  <c r="J128" i="8" l="1"/>
  <c r="J76" i="8"/>
  <c r="E76" i="8"/>
  <c r="E128" i="8"/>
  <c r="I128" i="8"/>
  <c r="I76" i="8"/>
  <c r="G128" i="8"/>
  <c r="G76" i="8"/>
  <c r="F128" i="8"/>
  <c r="F76" i="8"/>
  <c r="H128" i="8"/>
  <c r="H76" i="8"/>
  <c r="L128" i="8"/>
  <c r="L76" i="8"/>
  <c r="E187" i="8"/>
  <c r="E188" i="8" s="1"/>
  <c r="F18" i="8"/>
  <c r="G18" i="8" s="1"/>
  <c r="H18" i="8" s="1"/>
  <c r="I18" i="8" s="1"/>
  <c r="J18" i="8" s="1"/>
  <c r="K18" i="8" s="1"/>
  <c r="L18" i="8" s="1"/>
  <c r="B177" i="8"/>
  <c r="E129" i="8"/>
  <c r="F104" i="8"/>
  <c r="F113" i="8" s="1"/>
  <c r="F78" i="8" s="1"/>
  <c r="L117" i="10"/>
  <c r="L97" i="10"/>
  <c r="K117" i="10"/>
  <c r="K97" i="10"/>
  <c r="G6" i="13"/>
  <c r="E184" i="8"/>
  <c r="E190" i="8"/>
  <c r="E191" i="8" s="1"/>
  <c r="F20" i="8"/>
  <c r="G20" i="8" s="1"/>
  <c r="H20" i="8" s="1"/>
  <c r="I20" i="8" s="1"/>
  <c r="J20" i="8" s="1"/>
  <c r="K20" i="8" s="1"/>
  <c r="L20" i="8" s="1"/>
  <c r="E196" i="8"/>
  <c r="E197" i="8" s="1"/>
  <c r="E145" i="8"/>
  <c r="F25" i="8"/>
  <c r="F27" i="8"/>
  <c r="G16" i="8"/>
  <c r="E130" i="8"/>
  <c r="E70" i="8" s="1"/>
  <c r="E139" i="8"/>
  <c r="E141" i="8" s="1"/>
  <c r="E147" i="8" s="1"/>
  <c r="E78" i="12"/>
  <c r="E80" i="12" s="1"/>
  <c r="E91" i="10"/>
  <c r="E38" i="10"/>
  <c r="E136" i="10" s="1"/>
  <c r="E139" i="10" s="1"/>
  <c r="F18" i="10"/>
  <c r="F39" i="10" s="1"/>
  <c r="E20" i="10"/>
  <c r="E19" i="10"/>
  <c r="E56" i="10"/>
  <c r="E79" i="10" s="1"/>
  <c r="E80" i="10" s="1"/>
  <c r="F16" i="10"/>
  <c r="F17" i="10" s="1"/>
  <c r="G7" i="10"/>
  <c r="H7" i="10" s="1"/>
  <c r="I7" i="10" s="1"/>
  <c r="J7" i="10" s="1"/>
  <c r="K7" i="10" s="1"/>
  <c r="L7" i="10" s="1"/>
  <c r="G11" i="10"/>
  <c r="H9" i="10"/>
  <c r="F41" i="10"/>
  <c r="E117" i="10" l="1"/>
  <c r="E97" i="10"/>
  <c r="E99" i="10" s="1"/>
  <c r="G19" i="13"/>
  <c r="H6" i="13"/>
  <c r="E199" i="8"/>
  <c r="E185" i="8"/>
  <c r="G27" i="8"/>
  <c r="H16" i="8"/>
  <c r="G25" i="8"/>
  <c r="F28" i="8"/>
  <c r="F122" i="8"/>
  <c r="F32" i="8"/>
  <c r="F124" i="8" s="1"/>
  <c r="F31" i="8"/>
  <c r="F44" i="8"/>
  <c r="F29" i="8"/>
  <c r="F30" i="8"/>
  <c r="F182" i="8"/>
  <c r="F58" i="8"/>
  <c r="F121" i="8"/>
  <c r="F140" i="8" s="1"/>
  <c r="F143" i="8" s="1"/>
  <c r="E131" i="8"/>
  <c r="E79" i="8" s="1"/>
  <c r="F21" i="12"/>
  <c r="F20" i="12"/>
  <c r="G21" i="12"/>
  <c r="G20" i="12"/>
  <c r="G78" i="12" s="1"/>
  <c r="E22" i="12"/>
  <c r="E24" i="12" s="1"/>
  <c r="E66" i="12" s="1"/>
  <c r="E75" i="12"/>
  <c r="F38" i="10"/>
  <c r="F136" i="10" s="1"/>
  <c r="F139" i="10" s="1"/>
  <c r="E24" i="10"/>
  <c r="E40" i="10"/>
  <c r="F19" i="10"/>
  <c r="F56" i="10"/>
  <c r="F71" i="10" s="1"/>
  <c r="E71" i="10"/>
  <c r="E59" i="10"/>
  <c r="E62" i="10"/>
  <c r="E65" i="10"/>
  <c r="F20" i="10"/>
  <c r="F24" i="10" s="1"/>
  <c r="F91" i="10"/>
  <c r="G16" i="10"/>
  <c r="G18" i="10"/>
  <c r="G39" i="10" s="1"/>
  <c r="H11" i="10"/>
  <c r="H16" i="10"/>
  <c r="I9" i="10"/>
  <c r="E25" i="10" l="1"/>
  <c r="E156" i="10"/>
  <c r="F117" i="10"/>
  <c r="F97" i="10"/>
  <c r="I6" i="13"/>
  <c r="H19" i="13"/>
  <c r="G32" i="8"/>
  <c r="G124" i="8" s="1"/>
  <c r="G31" i="8"/>
  <c r="G44" i="8"/>
  <c r="G182" i="8"/>
  <c r="G58" i="8"/>
  <c r="G121" i="8"/>
  <c r="G140" i="8" s="1"/>
  <c r="G143" i="8" s="1"/>
  <c r="G26" i="8"/>
  <c r="G30" i="8"/>
  <c r="G29" i="8"/>
  <c r="F33" i="8"/>
  <c r="F123" i="8"/>
  <c r="H27" i="8"/>
  <c r="I16" i="8"/>
  <c r="H25" i="8"/>
  <c r="F184" i="8"/>
  <c r="F187" i="8"/>
  <c r="F188" i="8" s="1"/>
  <c r="F196" i="8"/>
  <c r="F197" i="8" s="1"/>
  <c r="F193" i="8"/>
  <c r="F194" i="8" s="1"/>
  <c r="F190" i="8"/>
  <c r="F191" i="8" s="1"/>
  <c r="F61" i="8"/>
  <c r="F59" i="8"/>
  <c r="F46" i="8"/>
  <c r="F72" i="8" s="1"/>
  <c r="F166" i="8"/>
  <c r="F204" i="8" s="1"/>
  <c r="F205" i="8" s="1"/>
  <c r="F206" i="8" s="1"/>
  <c r="G122" i="8"/>
  <c r="G28" i="8"/>
  <c r="E26" i="12"/>
  <c r="E38" i="12"/>
  <c r="F75" i="12"/>
  <c r="F78" i="12"/>
  <c r="F22" i="12"/>
  <c r="F24" i="12" s="1"/>
  <c r="H21" i="12"/>
  <c r="H20" i="12"/>
  <c r="H78" i="12" s="1"/>
  <c r="G22" i="12"/>
  <c r="G24" i="12" s="1"/>
  <c r="G75" i="12"/>
  <c r="E106" i="10"/>
  <c r="E108" i="10" s="1"/>
  <c r="E153" i="10" s="1"/>
  <c r="F96" i="10"/>
  <c r="G17" i="10"/>
  <c r="E42" i="10"/>
  <c r="E115" i="10"/>
  <c r="E27" i="10"/>
  <c r="E44" i="10" s="1"/>
  <c r="F62" i="10"/>
  <c r="F65" i="10"/>
  <c r="G56" i="10"/>
  <c r="G62" i="10" s="1"/>
  <c r="F40" i="10"/>
  <c r="G38" i="10"/>
  <c r="G136" i="10" s="1"/>
  <c r="G139" i="10" s="1"/>
  <c r="G41" i="10"/>
  <c r="G91" i="10"/>
  <c r="F59" i="10"/>
  <c r="F73" i="10"/>
  <c r="G19" i="10"/>
  <c r="G20" i="10"/>
  <c r="G24" i="10" s="1"/>
  <c r="I11" i="10"/>
  <c r="H18" i="10"/>
  <c r="H39" i="10" s="1"/>
  <c r="J9" i="10"/>
  <c r="I16" i="10"/>
  <c r="H17" i="10"/>
  <c r="H91" i="10"/>
  <c r="H56" i="10"/>
  <c r="H41" i="10"/>
  <c r="H38" i="10"/>
  <c r="H136" i="10" s="1"/>
  <c r="H139" i="10" s="1"/>
  <c r="F42" i="10"/>
  <c r="F27" i="10"/>
  <c r="F29" i="10" s="1"/>
  <c r="F115" i="10"/>
  <c r="F25" i="10"/>
  <c r="H117" i="10" l="1"/>
  <c r="H97" i="10"/>
  <c r="F107" i="10"/>
  <c r="F118" i="10" s="1"/>
  <c r="F78" i="10"/>
  <c r="G117" i="10"/>
  <c r="G97" i="10"/>
  <c r="I19" i="13"/>
  <c r="J6" i="13"/>
  <c r="I25" i="8"/>
  <c r="J16" i="8"/>
  <c r="I27" i="8"/>
  <c r="G190" i="8"/>
  <c r="G191" i="8" s="1"/>
  <c r="G196" i="8"/>
  <c r="G197" i="8" s="1"/>
  <c r="G187" i="8"/>
  <c r="G188" i="8" s="1"/>
  <c r="G184" i="8"/>
  <c r="G193" i="8"/>
  <c r="G194" i="8" s="1"/>
  <c r="F35" i="8"/>
  <c r="F47" i="8"/>
  <c r="H28" i="8"/>
  <c r="H122" i="8"/>
  <c r="G33" i="8"/>
  <c r="G123" i="8"/>
  <c r="G166" i="8"/>
  <c r="G204" i="8" s="1"/>
  <c r="G205" i="8" s="1"/>
  <c r="G206" i="8" s="1"/>
  <c r="G46" i="8"/>
  <c r="G72" i="8" s="1"/>
  <c r="F185" i="8"/>
  <c r="F199" i="8"/>
  <c r="H32" i="8"/>
  <c r="H124" i="8" s="1"/>
  <c r="H31" i="8"/>
  <c r="H44" i="8"/>
  <c r="H29" i="8"/>
  <c r="H30" i="8"/>
  <c r="H26" i="8"/>
  <c r="H58" i="8"/>
  <c r="H182" i="8"/>
  <c r="H121" i="8"/>
  <c r="H140" i="8" s="1"/>
  <c r="H143" i="8" s="1"/>
  <c r="F125" i="8"/>
  <c r="F34" i="8"/>
  <c r="F36" i="8"/>
  <c r="F69" i="8"/>
  <c r="F74" i="8" s="1"/>
  <c r="F80" i="8" s="1"/>
  <c r="F169" i="8" s="1"/>
  <c r="G61" i="8"/>
  <c r="G59" i="8"/>
  <c r="E74" i="12"/>
  <c r="E76" i="12" s="1"/>
  <c r="E82" i="12" s="1"/>
  <c r="E28" i="12"/>
  <c r="E29" i="12" s="1"/>
  <c r="E39" i="12" s="1"/>
  <c r="E43" i="12" s="1"/>
  <c r="E49" i="12" s="1"/>
  <c r="H22" i="12"/>
  <c r="H24" i="12" s="1"/>
  <c r="I20" i="12"/>
  <c r="I78" i="12" s="1"/>
  <c r="I21" i="12"/>
  <c r="H75" i="12"/>
  <c r="E140" i="10"/>
  <c r="E141" i="10" s="1"/>
  <c r="E29" i="10"/>
  <c r="E30" i="10" s="1"/>
  <c r="E28" i="10"/>
  <c r="G71" i="10"/>
  <c r="G65" i="10"/>
  <c r="E46" i="10"/>
  <c r="E47" i="10" s="1"/>
  <c r="E116" i="10" s="1"/>
  <c r="E120" i="10" s="1"/>
  <c r="E126" i="10" s="1"/>
  <c r="H20" i="10"/>
  <c r="H40" i="10" s="1"/>
  <c r="F43" i="10"/>
  <c r="F98" i="10" s="1"/>
  <c r="F99" i="10" s="1"/>
  <c r="G40" i="10"/>
  <c r="H19" i="10"/>
  <c r="I18" i="10"/>
  <c r="I39" i="10" s="1"/>
  <c r="J11" i="10"/>
  <c r="F44" i="10"/>
  <c r="F46" i="10" s="1"/>
  <c r="F47" i="10" s="1"/>
  <c r="F116" i="10" s="1"/>
  <c r="F30" i="10"/>
  <c r="F28" i="10"/>
  <c r="I41" i="10"/>
  <c r="I17" i="10"/>
  <c r="I56" i="10"/>
  <c r="I38" i="10"/>
  <c r="I136" i="10" s="1"/>
  <c r="I139" i="10" s="1"/>
  <c r="G73" i="10"/>
  <c r="G59" i="10"/>
  <c r="K9" i="10"/>
  <c r="J16" i="10"/>
  <c r="H65" i="10"/>
  <c r="H71" i="10"/>
  <c r="H62" i="10"/>
  <c r="G115" i="10"/>
  <c r="G42" i="10"/>
  <c r="G25" i="10"/>
  <c r="G107" i="10" l="1"/>
  <c r="G118" i="10" s="1"/>
  <c r="G78" i="10"/>
  <c r="K6" i="13"/>
  <c r="J19" i="13"/>
  <c r="F37" i="8"/>
  <c r="F38" i="8"/>
  <c r="F39" i="8" s="1"/>
  <c r="F127" i="8"/>
  <c r="H61" i="8"/>
  <c r="H59" i="8"/>
  <c r="H46" i="8"/>
  <c r="H72" i="8" s="1"/>
  <c r="H166" i="8"/>
  <c r="H204" i="8" s="1"/>
  <c r="H205" i="8" s="1"/>
  <c r="H206" i="8" s="1"/>
  <c r="G199" i="8"/>
  <c r="G185" i="8"/>
  <c r="I122" i="8"/>
  <c r="I28" i="8"/>
  <c r="G35" i="8"/>
  <c r="G47" i="8"/>
  <c r="F43" i="8"/>
  <c r="F71" i="8"/>
  <c r="F157" i="8" s="1"/>
  <c r="J25" i="8"/>
  <c r="J27" i="8"/>
  <c r="K16" i="8"/>
  <c r="F174" i="8"/>
  <c r="H193" i="8"/>
  <c r="H194" i="8" s="1"/>
  <c r="H190" i="8"/>
  <c r="H191" i="8" s="1"/>
  <c r="H184" i="8"/>
  <c r="H187" i="8"/>
  <c r="H188" i="8" s="1"/>
  <c r="H196" i="8"/>
  <c r="H197" i="8" s="1"/>
  <c r="H123" i="8"/>
  <c r="H33" i="8"/>
  <c r="G36" i="8"/>
  <c r="G69" i="8"/>
  <c r="G74" i="8" s="1"/>
  <c r="G80" i="8" s="1"/>
  <c r="G169" i="8" s="1"/>
  <c r="G125" i="8"/>
  <c r="G34" i="8"/>
  <c r="F126" i="8"/>
  <c r="F158" i="8" s="1"/>
  <c r="I31" i="8"/>
  <c r="I30" i="8"/>
  <c r="I26" i="8"/>
  <c r="I32" i="8"/>
  <c r="I124" i="8" s="1"/>
  <c r="I182" i="8"/>
  <c r="I58" i="8"/>
  <c r="I44" i="8"/>
  <c r="I121" i="8"/>
  <c r="I140" i="8" s="1"/>
  <c r="I143" i="8" s="1"/>
  <c r="I29" i="8"/>
  <c r="E30" i="12"/>
  <c r="I22" i="12"/>
  <c r="I24" i="12" s="1"/>
  <c r="F38" i="12"/>
  <c r="F26" i="12"/>
  <c r="J20" i="12"/>
  <c r="J21" i="12"/>
  <c r="I75" i="12"/>
  <c r="E135" i="10"/>
  <c r="E137" i="10" s="1"/>
  <c r="E143" i="10" s="1"/>
  <c r="F79" i="10"/>
  <c r="F80" i="10" s="1"/>
  <c r="G79" i="10"/>
  <c r="G80" i="10" s="1"/>
  <c r="H24" i="10"/>
  <c r="H42" i="10" s="1"/>
  <c r="G96" i="10"/>
  <c r="F106" i="10"/>
  <c r="F108" i="10" s="1"/>
  <c r="F140" i="10" s="1"/>
  <c r="E48" i="10"/>
  <c r="F135" i="10"/>
  <c r="F137" i="10" s="1"/>
  <c r="I19" i="10"/>
  <c r="I20" i="10"/>
  <c r="I24" i="10" s="1"/>
  <c r="K11" i="10"/>
  <c r="J18" i="10"/>
  <c r="J39" i="10" s="1"/>
  <c r="H73" i="10"/>
  <c r="H59" i="10"/>
  <c r="J41" i="10"/>
  <c r="J56" i="10"/>
  <c r="J17" i="10"/>
  <c r="J38" i="10"/>
  <c r="J136" i="10" s="1"/>
  <c r="J139" i="10" s="1"/>
  <c r="L9" i="10"/>
  <c r="L16" i="10" s="1"/>
  <c r="K16" i="10"/>
  <c r="I62" i="10"/>
  <c r="I65" i="10"/>
  <c r="I71" i="10"/>
  <c r="I91" i="10"/>
  <c r="H107" i="10" l="1"/>
  <c r="H118" i="10" s="1"/>
  <c r="H78" i="10"/>
  <c r="H79" i="10" s="1"/>
  <c r="H80" i="10" s="1"/>
  <c r="I117" i="10"/>
  <c r="I97" i="10"/>
  <c r="L6" i="13"/>
  <c r="L19" i="13" s="1"/>
  <c r="K19" i="13"/>
  <c r="I59" i="8"/>
  <c r="I61" i="8"/>
  <c r="G37" i="8"/>
  <c r="G127" i="8"/>
  <c r="G38" i="8"/>
  <c r="G39" i="8" s="1"/>
  <c r="J28" i="8"/>
  <c r="J122" i="8"/>
  <c r="F165" i="8"/>
  <c r="F167" i="8" s="1"/>
  <c r="G43" i="8"/>
  <c r="F45" i="8"/>
  <c r="F139" i="8"/>
  <c r="F141" i="8" s="1"/>
  <c r="F129" i="8"/>
  <c r="I33" i="8"/>
  <c r="I123" i="8"/>
  <c r="I196" i="8"/>
  <c r="I197" i="8" s="1"/>
  <c r="I193" i="8"/>
  <c r="I194" i="8" s="1"/>
  <c r="I184" i="8"/>
  <c r="I190" i="8"/>
  <c r="I191" i="8" s="1"/>
  <c r="I187" i="8"/>
  <c r="I188" i="8" s="1"/>
  <c r="J31" i="8"/>
  <c r="J30" i="8"/>
  <c r="J182" i="8"/>
  <c r="J32" i="8"/>
  <c r="J124" i="8" s="1"/>
  <c r="J121" i="8"/>
  <c r="J140" i="8" s="1"/>
  <c r="J143" i="8" s="1"/>
  <c r="J26" i="8"/>
  <c r="J29" i="8"/>
  <c r="J58" i="8"/>
  <c r="J44" i="8"/>
  <c r="G71" i="8"/>
  <c r="G157" i="8" s="1"/>
  <c r="H125" i="8"/>
  <c r="H69" i="8"/>
  <c r="H74" i="8" s="1"/>
  <c r="H80" i="8" s="1"/>
  <c r="H169" i="8" s="1"/>
  <c r="H34" i="8"/>
  <c r="H199" i="8"/>
  <c r="H185" i="8"/>
  <c r="G174" i="8"/>
  <c r="F159" i="8"/>
  <c r="G156" i="8" s="1"/>
  <c r="G126" i="8"/>
  <c r="G158" i="8" s="1"/>
  <c r="H35" i="8"/>
  <c r="H47" i="8"/>
  <c r="I46" i="8"/>
  <c r="I72" i="8" s="1"/>
  <c r="I166" i="8"/>
  <c r="I204" i="8" s="1"/>
  <c r="I205" i="8" s="1"/>
  <c r="I206" i="8" s="1"/>
  <c r="K25" i="8"/>
  <c r="L16" i="8"/>
  <c r="K27" i="8"/>
  <c r="J22" i="12"/>
  <c r="J24" i="12" s="1"/>
  <c r="J78" i="12"/>
  <c r="F28" i="12"/>
  <c r="F29" i="12" s="1"/>
  <c r="F39" i="12" s="1"/>
  <c r="F43" i="12" s="1"/>
  <c r="F74" i="12"/>
  <c r="F76" i="12" s="1"/>
  <c r="K21" i="12"/>
  <c r="K20" i="12"/>
  <c r="K78" i="12" s="1"/>
  <c r="G26" i="12"/>
  <c r="E8" i="13" s="1"/>
  <c r="E13" i="13" s="1"/>
  <c r="G38" i="12"/>
  <c r="F59" i="12"/>
  <c r="F79" i="12" s="1"/>
  <c r="J75" i="12"/>
  <c r="F120" i="10"/>
  <c r="H115" i="10"/>
  <c r="H25" i="10"/>
  <c r="I40" i="10"/>
  <c r="J19" i="10"/>
  <c r="L11" i="10"/>
  <c r="L18" i="10" s="1"/>
  <c r="L39" i="10" s="1"/>
  <c r="K18" i="10"/>
  <c r="K39" i="10" s="1"/>
  <c r="J20" i="10"/>
  <c r="J24" i="10" s="1"/>
  <c r="J65" i="10"/>
  <c r="J71" i="10"/>
  <c r="J62" i="10"/>
  <c r="J91" i="10"/>
  <c r="I73" i="10"/>
  <c r="I59" i="10"/>
  <c r="K41" i="10"/>
  <c r="K56" i="10"/>
  <c r="K17" i="10"/>
  <c r="K38" i="10"/>
  <c r="K136" i="10" s="1"/>
  <c r="K139" i="10" s="1"/>
  <c r="I115" i="10"/>
  <c r="I42" i="10"/>
  <c r="I25" i="10"/>
  <c r="L41" i="10"/>
  <c r="L56" i="10"/>
  <c r="L17" i="10"/>
  <c r="L38" i="10"/>
  <c r="L136" i="10" s="1"/>
  <c r="L139" i="10" s="1"/>
  <c r="F48" i="10"/>
  <c r="F151" i="10" s="1"/>
  <c r="J40" i="10"/>
  <c r="J117" i="10" l="1"/>
  <c r="J97" i="10"/>
  <c r="I107" i="10"/>
  <c r="I118" i="10" s="1"/>
  <c r="I78" i="10"/>
  <c r="I79" i="10" s="1"/>
  <c r="I80" i="10" s="1"/>
  <c r="K28" i="8"/>
  <c r="K122" i="8"/>
  <c r="H126" i="8"/>
  <c r="H158" i="8" s="1"/>
  <c r="H36" i="8"/>
  <c r="J59" i="8"/>
  <c r="J61" i="8"/>
  <c r="F144" i="8"/>
  <c r="F145" i="8" s="1"/>
  <c r="F147" i="8" s="1"/>
  <c r="F48" i="8"/>
  <c r="F50" i="8" s="1"/>
  <c r="L25" i="8"/>
  <c r="L27" i="8"/>
  <c r="G159" i="8"/>
  <c r="H156" i="8" s="1"/>
  <c r="J33" i="8"/>
  <c r="J123" i="8"/>
  <c r="I185" i="8"/>
  <c r="I199" i="8"/>
  <c r="I34" i="8"/>
  <c r="I69" i="8"/>
  <c r="I74" i="8" s="1"/>
  <c r="I80" i="8" s="1"/>
  <c r="I125" i="8"/>
  <c r="H43" i="8"/>
  <c r="G165" i="8"/>
  <c r="G167" i="8" s="1"/>
  <c r="G45" i="8"/>
  <c r="I47" i="8"/>
  <c r="I35" i="8"/>
  <c r="I36" i="8" s="1"/>
  <c r="K31" i="8"/>
  <c r="K182" i="8"/>
  <c r="K30" i="8"/>
  <c r="K32" i="8"/>
  <c r="K124" i="8" s="1"/>
  <c r="K44" i="8"/>
  <c r="K58" i="8"/>
  <c r="K29" i="8"/>
  <c r="K26" i="8"/>
  <c r="K121" i="8"/>
  <c r="K140" i="8" s="1"/>
  <c r="K143" i="8" s="1"/>
  <c r="J184" i="8"/>
  <c r="J187" i="8"/>
  <c r="J188" i="8" s="1"/>
  <c r="J190" i="8"/>
  <c r="J191" i="8" s="1"/>
  <c r="J196" i="8"/>
  <c r="J197" i="8" s="1"/>
  <c r="J193" i="8"/>
  <c r="J194" i="8" s="1"/>
  <c r="F130" i="8"/>
  <c r="F70" i="8" s="1"/>
  <c r="G139" i="8"/>
  <c r="G141" i="8" s="1"/>
  <c r="G129" i="8"/>
  <c r="H71" i="8"/>
  <c r="H157" i="8" s="1"/>
  <c r="I169" i="8"/>
  <c r="H174" i="8"/>
  <c r="J166" i="8"/>
  <c r="J204" i="8" s="1"/>
  <c r="J205" i="8" s="1"/>
  <c r="J206" i="8" s="1"/>
  <c r="J46" i="8"/>
  <c r="J72" i="8" s="1"/>
  <c r="G28" i="12"/>
  <c r="G29" i="12" s="1"/>
  <c r="G39" i="12" s="1"/>
  <c r="G43" i="12" s="1"/>
  <c r="G74" i="12"/>
  <c r="G76" i="12" s="1"/>
  <c r="K22" i="12"/>
  <c r="K24" i="12" s="1"/>
  <c r="L21" i="12"/>
  <c r="L20" i="12"/>
  <c r="L78" i="12" s="1"/>
  <c r="H38" i="12"/>
  <c r="H26" i="12"/>
  <c r="F8" i="13" s="1"/>
  <c r="F13" i="13" s="1"/>
  <c r="K75" i="12"/>
  <c r="G59" i="12"/>
  <c r="G79" i="12" s="1"/>
  <c r="F80" i="12"/>
  <c r="F82" i="12" s="1"/>
  <c r="F30" i="12"/>
  <c r="F60" i="12" s="1"/>
  <c r="L20" i="10"/>
  <c r="L24" i="10" s="1"/>
  <c r="F141" i="10"/>
  <c r="F143" i="10" s="1"/>
  <c r="G27" i="10"/>
  <c r="G29" i="10" s="1"/>
  <c r="G43" i="10"/>
  <c r="G98" i="10" s="1"/>
  <c r="G99" i="10" s="1"/>
  <c r="K20" i="10"/>
  <c r="K40" i="10" s="1"/>
  <c r="L19" i="10"/>
  <c r="K19" i="10"/>
  <c r="F126" i="10"/>
  <c r="F152" i="10" s="1"/>
  <c r="F156" i="10" s="1"/>
  <c r="L65" i="10"/>
  <c r="L71" i="10"/>
  <c r="L62" i="10"/>
  <c r="K62" i="10"/>
  <c r="K65" i="10"/>
  <c r="K71" i="10"/>
  <c r="J73" i="10"/>
  <c r="J59" i="10"/>
  <c r="J115" i="10"/>
  <c r="J25" i="10"/>
  <c r="J42" i="10"/>
  <c r="F131" i="8" l="1"/>
  <c r="J107" i="10"/>
  <c r="J118" i="10" s="1"/>
  <c r="J78" i="10"/>
  <c r="G130" i="8"/>
  <c r="G70" i="8" s="1"/>
  <c r="J199" i="8"/>
  <c r="J185" i="8"/>
  <c r="K190" i="8"/>
  <c r="K191" i="8" s="1"/>
  <c r="K184" i="8"/>
  <c r="K196" i="8"/>
  <c r="K197" i="8" s="1"/>
  <c r="K187" i="8"/>
  <c r="K188" i="8" s="1"/>
  <c r="K193" i="8"/>
  <c r="K194" i="8" s="1"/>
  <c r="G144" i="8"/>
  <c r="G145" i="8" s="1"/>
  <c r="G147" i="8" s="1"/>
  <c r="G48" i="8"/>
  <c r="G50" i="8" s="1"/>
  <c r="J69" i="8"/>
  <c r="J74" i="8" s="1"/>
  <c r="J80" i="8" s="1"/>
  <c r="J169" i="8" s="1"/>
  <c r="J125" i="8"/>
  <c r="J34" i="8"/>
  <c r="L122" i="8"/>
  <c r="L28" i="8"/>
  <c r="H38" i="8"/>
  <c r="H127" i="8"/>
  <c r="H39" i="8"/>
  <c r="H37" i="8"/>
  <c r="I174" i="8"/>
  <c r="K166" i="8"/>
  <c r="K204" i="8" s="1"/>
  <c r="K205" i="8" s="1"/>
  <c r="K206" i="8" s="1"/>
  <c r="K46" i="8"/>
  <c r="K72" i="8" s="1"/>
  <c r="L31" i="8"/>
  <c r="L30" i="8"/>
  <c r="L32" i="8"/>
  <c r="L124" i="8" s="1"/>
  <c r="L29" i="8"/>
  <c r="L44" i="8"/>
  <c r="L182" i="8"/>
  <c r="L121" i="8"/>
  <c r="L140" i="8" s="1"/>
  <c r="L143" i="8" s="1"/>
  <c r="L58" i="8"/>
  <c r="L26" i="8"/>
  <c r="F79" i="8"/>
  <c r="F168" i="8" s="1"/>
  <c r="K33" i="8"/>
  <c r="K123" i="8"/>
  <c r="I126" i="8"/>
  <c r="I158" i="8" s="1"/>
  <c r="H165" i="8"/>
  <c r="H167" i="8" s="1"/>
  <c r="I43" i="8"/>
  <c r="H45" i="8"/>
  <c r="J47" i="8"/>
  <c r="J35" i="8"/>
  <c r="J36" i="8" s="1"/>
  <c r="K59" i="8"/>
  <c r="K61" i="8"/>
  <c r="I71" i="8"/>
  <c r="I157" i="8" s="1"/>
  <c r="H159" i="8"/>
  <c r="I156" i="8" s="1"/>
  <c r="I38" i="8"/>
  <c r="I39" i="8" s="1"/>
  <c r="I127" i="8"/>
  <c r="I37" i="8"/>
  <c r="H28" i="12"/>
  <c r="H29" i="12" s="1"/>
  <c r="H39" i="12" s="1"/>
  <c r="H43" i="12" s="1"/>
  <c r="H74" i="12"/>
  <c r="H76" i="12" s="1"/>
  <c r="I26" i="12"/>
  <c r="I38" i="12"/>
  <c r="L22" i="12"/>
  <c r="L24" i="12" s="1"/>
  <c r="G30" i="12"/>
  <c r="H59" i="12"/>
  <c r="H79" i="12" s="1"/>
  <c r="F49" i="12"/>
  <c r="F61" i="12" s="1"/>
  <c r="L75" i="12"/>
  <c r="E12" i="13"/>
  <c r="G80" i="12"/>
  <c r="G82" i="12" s="1"/>
  <c r="G49" i="12"/>
  <c r="L40" i="10"/>
  <c r="J79" i="10"/>
  <c r="J80" i="10" s="1"/>
  <c r="K24" i="10"/>
  <c r="K115" i="10" s="1"/>
  <c r="F153" i="10"/>
  <c r="G44" i="10"/>
  <c r="G46" i="10" s="1"/>
  <c r="G47" i="10" s="1"/>
  <c r="G116" i="10" s="1"/>
  <c r="G28" i="10"/>
  <c r="G30" i="10"/>
  <c r="G135" i="10"/>
  <c r="G137" i="10" s="1"/>
  <c r="G106" i="10"/>
  <c r="G108" i="10" s="1"/>
  <c r="G140" i="10" s="1"/>
  <c r="H96" i="10"/>
  <c r="K73" i="10"/>
  <c r="K59" i="10"/>
  <c r="L73" i="10"/>
  <c r="L59" i="10"/>
  <c r="L115" i="10"/>
  <c r="L42" i="10"/>
  <c r="L25" i="10"/>
  <c r="I74" i="12" l="1"/>
  <c r="I76" i="12" s="1"/>
  <c r="G8" i="13"/>
  <c r="G13" i="13" s="1"/>
  <c r="L107" i="10"/>
  <c r="L78" i="10"/>
  <c r="K107" i="10"/>
  <c r="K118" i="10" s="1"/>
  <c r="K78" i="10"/>
  <c r="K79" i="10" s="1"/>
  <c r="K80" i="10" s="1"/>
  <c r="G131" i="8"/>
  <c r="G79" i="8" s="1"/>
  <c r="J174" i="8"/>
  <c r="J43" i="8"/>
  <c r="I165" i="8"/>
  <c r="I167" i="8" s="1"/>
  <c r="I45" i="8"/>
  <c r="K185" i="8"/>
  <c r="K199" i="8"/>
  <c r="K69" i="8"/>
  <c r="K74" i="8" s="1"/>
  <c r="K80" i="8" s="1"/>
  <c r="K169" i="8" s="1"/>
  <c r="K34" i="8"/>
  <c r="K125" i="8"/>
  <c r="L123" i="8"/>
  <c r="L33" i="8"/>
  <c r="K47" i="8"/>
  <c r="K35" i="8"/>
  <c r="F170" i="8"/>
  <c r="G168" i="8"/>
  <c r="H129" i="8"/>
  <c r="H139" i="8"/>
  <c r="H141" i="8" s="1"/>
  <c r="J38" i="8"/>
  <c r="J39" i="8" s="1"/>
  <c r="J37" i="8"/>
  <c r="J127" i="8"/>
  <c r="J71" i="8"/>
  <c r="J157" i="8" s="1"/>
  <c r="L59" i="8"/>
  <c r="L61" i="8"/>
  <c r="L166" i="8"/>
  <c r="L204" i="8" s="1"/>
  <c r="L205" i="8" s="1"/>
  <c r="L206" i="8" s="1"/>
  <c r="L46" i="8"/>
  <c r="L72" i="8" s="1"/>
  <c r="I159" i="8"/>
  <c r="J156" i="8" s="1"/>
  <c r="I139" i="8"/>
  <c r="I141" i="8" s="1"/>
  <c r="I129" i="8"/>
  <c r="J126" i="8"/>
  <c r="J158" i="8" s="1"/>
  <c r="H144" i="8"/>
  <c r="H145" i="8" s="1"/>
  <c r="H48" i="8"/>
  <c r="H50" i="8" s="1"/>
  <c r="L184" i="8"/>
  <c r="L193" i="8"/>
  <c r="L194" i="8" s="1"/>
  <c r="L196" i="8"/>
  <c r="L197" i="8" s="1"/>
  <c r="L187" i="8"/>
  <c r="L188" i="8" s="1"/>
  <c r="L190" i="8"/>
  <c r="L191" i="8" s="1"/>
  <c r="I28" i="12"/>
  <c r="I29" i="12" s="1"/>
  <c r="I39" i="12" s="1"/>
  <c r="I43" i="12" s="1"/>
  <c r="J38" i="12"/>
  <c r="J26" i="12"/>
  <c r="G60" i="12"/>
  <c r="I59" i="12"/>
  <c r="I79" i="12" s="1"/>
  <c r="F12" i="13"/>
  <c r="H30" i="12"/>
  <c r="H49" i="12" s="1"/>
  <c r="E18" i="13"/>
  <c r="E22" i="13" s="1"/>
  <c r="G61" i="12"/>
  <c r="F66" i="12"/>
  <c r="H80" i="12"/>
  <c r="H82" i="12" s="1"/>
  <c r="L79" i="10"/>
  <c r="L80" i="10" s="1"/>
  <c r="K25" i="10"/>
  <c r="K42" i="10"/>
  <c r="G120" i="10"/>
  <c r="J74" i="12" l="1"/>
  <c r="H8" i="13"/>
  <c r="H13" i="13" s="1"/>
  <c r="L118" i="10"/>
  <c r="J159" i="8"/>
  <c r="K156" i="8" s="1"/>
  <c r="H147" i="8"/>
  <c r="K174" i="8"/>
  <c r="L199" i="8"/>
  <c r="L185" i="8"/>
  <c r="K126" i="8"/>
  <c r="K158" i="8" s="1"/>
  <c r="K43" i="8"/>
  <c r="J165" i="8"/>
  <c r="J167" i="8" s="1"/>
  <c r="J45" i="8"/>
  <c r="L47" i="8"/>
  <c r="L35" i="8"/>
  <c r="J129" i="8"/>
  <c r="J139" i="8"/>
  <c r="J141" i="8" s="1"/>
  <c r="K71" i="8"/>
  <c r="K157" i="8" s="1"/>
  <c r="I130" i="8"/>
  <c r="I70" i="8" s="1"/>
  <c r="H130" i="8"/>
  <c r="H70" i="8" s="1"/>
  <c r="G170" i="8"/>
  <c r="I144" i="8"/>
  <c r="I145" i="8" s="1"/>
  <c r="I147" i="8" s="1"/>
  <c r="I48" i="8"/>
  <c r="I50" i="8" s="1"/>
  <c r="L69" i="8"/>
  <c r="L74" i="8" s="1"/>
  <c r="L80" i="8" s="1"/>
  <c r="L169" i="8" s="1"/>
  <c r="L125" i="8"/>
  <c r="L36" i="8"/>
  <c r="L34" i="8"/>
  <c r="K36" i="8"/>
  <c r="K26" i="12"/>
  <c r="K38" i="12"/>
  <c r="F62" i="12"/>
  <c r="F18" i="13"/>
  <c r="F22" i="13" s="1"/>
  <c r="H60" i="12"/>
  <c r="G62" i="12"/>
  <c r="E46" i="13"/>
  <c r="E52" i="13" s="1"/>
  <c r="E55" i="13" s="1"/>
  <c r="J59" i="12"/>
  <c r="J79" i="12" s="1"/>
  <c r="H61" i="12"/>
  <c r="G66" i="12"/>
  <c r="I30" i="12"/>
  <c r="I49" i="12" s="1"/>
  <c r="J28" i="12"/>
  <c r="J29" i="12" s="1"/>
  <c r="G12" i="13"/>
  <c r="I80" i="12"/>
  <c r="I82" i="12" s="1"/>
  <c r="G48" i="10"/>
  <c r="G126" i="10" s="1"/>
  <c r="G152" i="10" s="1"/>
  <c r="G156" i="10" s="1"/>
  <c r="H27" i="10"/>
  <c r="H29" i="10" s="1"/>
  <c r="H43" i="10"/>
  <c r="H98" i="10" s="1"/>
  <c r="H99" i="10" s="1"/>
  <c r="G141" i="10"/>
  <c r="G143" i="10" s="1"/>
  <c r="K74" i="12" l="1"/>
  <c r="K76" i="12" s="1"/>
  <c r="I8" i="13"/>
  <c r="I13" i="13" s="1"/>
  <c r="L174" i="8"/>
  <c r="H131" i="8"/>
  <c r="H79" i="8" s="1"/>
  <c r="I131" i="8"/>
  <c r="I79" i="8" s="1"/>
  <c r="K159" i="8"/>
  <c r="L156" i="8" s="1"/>
  <c r="J144" i="8"/>
  <c r="J145" i="8" s="1"/>
  <c r="J147" i="8" s="1"/>
  <c r="J48" i="8"/>
  <c r="J50" i="8" s="1"/>
  <c r="L38" i="8"/>
  <c r="L39" i="8" s="1"/>
  <c r="L37" i="8"/>
  <c r="L127" i="8"/>
  <c r="J130" i="8"/>
  <c r="J70" i="8" s="1"/>
  <c r="L126" i="8"/>
  <c r="L158" i="8" s="1"/>
  <c r="L43" i="8"/>
  <c r="K165" i="8"/>
  <c r="K167" i="8" s="1"/>
  <c r="K45" i="8"/>
  <c r="K38" i="8"/>
  <c r="K39" i="8" s="1"/>
  <c r="K37" i="8"/>
  <c r="K127" i="8"/>
  <c r="H168" i="8"/>
  <c r="L71" i="8"/>
  <c r="L157" i="8" s="1"/>
  <c r="K28" i="12"/>
  <c r="K29" i="12" s="1"/>
  <c r="K39" i="12" s="1"/>
  <c r="K43" i="12" s="1"/>
  <c r="L38" i="12"/>
  <c r="L26" i="12"/>
  <c r="J8" i="13" s="1"/>
  <c r="J13" i="13" s="1"/>
  <c r="J76" i="12"/>
  <c r="K12" i="13"/>
  <c r="H12" i="13"/>
  <c r="I61" i="12"/>
  <c r="H66" i="12"/>
  <c r="K59" i="12"/>
  <c r="K79" i="12" s="1"/>
  <c r="J39" i="12"/>
  <c r="J43" i="12" s="1"/>
  <c r="J80" i="12"/>
  <c r="G18" i="13"/>
  <c r="G22" i="13" s="1"/>
  <c r="I60" i="12"/>
  <c r="H62" i="12"/>
  <c r="H106" i="10"/>
  <c r="H108" i="10" s="1"/>
  <c r="H140" i="10" s="1"/>
  <c r="I96" i="10"/>
  <c r="H44" i="10"/>
  <c r="H46" i="10" s="1"/>
  <c r="H28" i="10"/>
  <c r="G151" i="10"/>
  <c r="G153" i="10" s="1"/>
  <c r="J131" i="8" l="1"/>
  <c r="J79" i="8" s="1"/>
  <c r="L159" i="8"/>
  <c r="I168" i="8"/>
  <c r="H170" i="8"/>
  <c r="K144" i="8"/>
  <c r="K145" i="8" s="1"/>
  <c r="K48" i="8"/>
  <c r="K50" i="8" s="1"/>
  <c r="K139" i="8"/>
  <c r="K141" i="8" s="1"/>
  <c r="K129" i="8"/>
  <c r="L139" i="8"/>
  <c r="L141" i="8" s="1"/>
  <c r="L129" i="8"/>
  <c r="L165" i="8"/>
  <c r="L167" i="8" s="1"/>
  <c r="L45" i="8"/>
  <c r="K13" i="13"/>
  <c r="K18" i="13" s="1"/>
  <c r="K22" i="13" s="1"/>
  <c r="L28" i="12"/>
  <c r="L29" i="12" s="1"/>
  <c r="L39" i="12" s="1"/>
  <c r="L43" i="12" s="1"/>
  <c r="L74" i="12"/>
  <c r="L76" i="12" s="1"/>
  <c r="J82" i="12"/>
  <c r="I12" i="13"/>
  <c r="L12" i="13"/>
  <c r="H18" i="13"/>
  <c r="H22" i="13" s="1"/>
  <c r="J30" i="12"/>
  <c r="J49" i="12" s="1"/>
  <c r="J61" i="12" s="1"/>
  <c r="K80" i="12"/>
  <c r="K82" i="12" s="1"/>
  <c r="K30" i="12"/>
  <c r="K49" i="12" s="1"/>
  <c r="L59" i="12"/>
  <c r="L79" i="12" s="1"/>
  <c r="I66" i="12"/>
  <c r="I62" i="12"/>
  <c r="H47" i="10"/>
  <c r="H135" i="10"/>
  <c r="H137" i="10" s="1"/>
  <c r="H30" i="10"/>
  <c r="H48" i="10" l="1"/>
  <c r="H116" i="10"/>
  <c r="H120" i="10" s="1"/>
  <c r="I170" i="8"/>
  <c r="J168" i="8"/>
  <c r="K130" i="8"/>
  <c r="K70" i="8" s="1"/>
  <c r="L144" i="8"/>
  <c r="L145" i="8" s="1"/>
  <c r="L147" i="8" s="1"/>
  <c r="L48" i="8"/>
  <c r="L50" i="8" s="1"/>
  <c r="K147" i="8"/>
  <c r="L130" i="8"/>
  <c r="L70" i="8" s="1"/>
  <c r="I18" i="13"/>
  <c r="I22" i="13" s="1"/>
  <c r="J60" i="12"/>
  <c r="J62" i="12" s="1"/>
  <c r="L13" i="13"/>
  <c r="L18" i="13" s="1"/>
  <c r="L22" i="13" s="1"/>
  <c r="L30" i="12"/>
  <c r="L49" i="12" s="1"/>
  <c r="K61" i="12"/>
  <c r="J66" i="12"/>
  <c r="J12" i="13"/>
  <c r="L80" i="12"/>
  <c r="L82" i="12" s="1"/>
  <c r="H126" i="10"/>
  <c r="H152" i="10" s="1"/>
  <c r="H156" i="10" s="1"/>
  <c r="H151" i="10"/>
  <c r="H141" i="10"/>
  <c r="H143" i="10" s="1"/>
  <c r="I27" i="10"/>
  <c r="I29" i="10" s="1"/>
  <c r="I43" i="10"/>
  <c r="I98" i="10" s="1"/>
  <c r="I99" i="10" s="1"/>
  <c r="H153" i="10" l="1"/>
  <c r="J170" i="8"/>
  <c r="K131" i="8"/>
  <c r="K79" i="8" s="1"/>
  <c r="L131" i="8"/>
  <c r="L79" i="8" s="1"/>
  <c r="K60" i="12"/>
  <c r="L60" i="12" s="1"/>
  <c r="L61" i="12"/>
  <c r="L66" i="12" s="1"/>
  <c r="K66" i="12"/>
  <c r="J18" i="13"/>
  <c r="J22" i="13" s="1"/>
  <c r="E25" i="13" s="1"/>
  <c r="I106" i="10"/>
  <c r="I108" i="10" s="1"/>
  <c r="I140" i="10" s="1"/>
  <c r="J96" i="10"/>
  <c r="I44" i="10"/>
  <c r="I46" i="10" s="1"/>
  <c r="I28" i="10"/>
  <c r="E58" i="13" l="1"/>
  <c r="K168" i="8"/>
  <c r="K62" i="12"/>
  <c r="L62" i="12"/>
  <c r="I47" i="10"/>
  <c r="I116" i="10" s="1"/>
  <c r="I120" i="10" s="1"/>
  <c r="I135" i="10"/>
  <c r="I137" i="10" s="1"/>
  <c r="I30" i="10"/>
  <c r="I48" i="10" l="1"/>
  <c r="L168" i="8"/>
  <c r="L170" i="8" s="1"/>
  <c r="K170" i="8"/>
  <c r="I126" i="10"/>
  <c r="I152" i="10" s="1"/>
  <c r="I156" i="10" s="1"/>
  <c r="I151" i="10"/>
  <c r="I141" i="10"/>
  <c r="I143" i="10" s="1"/>
  <c r="J27" i="10"/>
  <c r="J29" i="10" s="1"/>
  <c r="J43" i="10"/>
  <c r="J98" i="10" s="1"/>
  <c r="J99" i="10" s="1"/>
  <c r="I153" i="10" l="1"/>
  <c r="J28" i="10"/>
  <c r="J135" i="10"/>
  <c r="J137" i="10" s="1"/>
  <c r="J44" i="10"/>
  <c r="J46" i="10" s="1"/>
  <c r="J106" i="10"/>
  <c r="J108" i="10" s="1"/>
  <c r="J140" i="10" s="1"/>
  <c r="K96" i="10"/>
  <c r="J47" i="10" l="1"/>
  <c r="J30" i="10"/>
  <c r="J48" i="10" l="1"/>
  <c r="J116" i="10"/>
  <c r="J120" i="10" s="1"/>
  <c r="J126" i="10" s="1"/>
  <c r="J152" i="10" s="1"/>
  <c r="J156" i="10" s="1"/>
  <c r="J141" i="10"/>
  <c r="J143" i="10" s="1"/>
  <c r="K27" i="10"/>
  <c r="K29" i="10" s="1"/>
  <c r="K43" i="10"/>
  <c r="K98" i="10" s="1"/>
  <c r="K99" i="10" s="1"/>
  <c r="J151" i="10"/>
  <c r="J153" i="10" l="1"/>
  <c r="K28" i="10"/>
  <c r="K135" i="10"/>
  <c r="K137" i="10" s="1"/>
  <c r="K44" i="10"/>
  <c r="K46" i="10" s="1"/>
  <c r="L96" i="10"/>
  <c r="K106" i="10"/>
  <c r="K108" i="10" s="1"/>
  <c r="K140" i="10" s="1"/>
  <c r="K30" i="10"/>
  <c r="K47" i="10" l="1"/>
  <c r="K48" i="10" l="1"/>
  <c r="K116" i="10"/>
  <c r="K120" i="10" s="1"/>
  <c r="L27" i="10"/>
  <c r="L29" i="10" s="1"/>
  <c r="L43" i="10"/>
  <c r="L98" i="10" s="1"/>
  <c r="L99" i="10" s="1"/>
  <c r="K141" i="10"/>
  <c r="K143" i="10" s="1"/>
  <c r="K126" i="10"/>
  <c r="K152" i="10" s="1"/>
  <c r="K156" i="10" s="1"/>
  <c r="K151" i="10" l="1"/>
  <c r="K153" i="10" s="1"/>
  <c r="L106" i="10"/>
  <c r="L108" i="10" s="1"/>
  <c r="L140" i="10" s="1"/>
  <c r="L28" i="10"/>
  <c r="L135" i="10"/>
  <c r="L137" i="10" s="1"/>
  <c r="L44" i="10"/>
  <c r="L46" i="10" s="1"/>
  <c r="L47" i="10" l="1"/>
  <c r="L141" i="10"/>
  <c r="L143" i="10" s="1"/>
  <c r="L30" i="10"/>
  <c r="L48" i="10" l="1"/>
  <c r="L116" i="10"/>
  <c r="L120" i="10" s="1"/>
  <c r="L126" i="10" s="1"/>
  <c r="L152" i="10" s="1"/>
  <c r="L156" i="10" s="1"/>
  <c r="L151" i="10"/>
  <c r="L153" i="10" l="1"/>
  <c r="B52" i="12"/>
  <c r="B69" i="12"/>
</calcChain>
</file>

<file path=xl/sharedStrings.xml><?xml version="1.0" encoding="utf-8"?>
<sst xmlns="http://schemas.openxmlformats.org/spreadsheetml/2006/main" count="521" uniqueCount="185">
  <si>
    <t>Compte de résultat</t>
  </si>
  <si>
    <t>Tableau de flux de trésorerie</t>
  </si>
  <si>
    <t>2021E</t>
  </si>
  <si>
    <t>2022E</t>
  </si>
  <si>
    <t>2023E</t>
  </si>
  <si>
    <t>2024E</t>
  </si>
  <si>
    <t>WACC</t>
  </si>
  <si>
    <t>Cible SA</t>
  </si>
  <si>
    <t>Taux de croissance</t>
  </si>
  <si>
    <t>Chiffre d'affaires</t>
  </si>
  <si>
    <t>Coûts directs</t>
  </si>
  <si>
    <t>En % du CA</t>
  </si>
  <si>
    <t>Marge brute</t>
  </si>
  <si>
    <t>Rex ou EBIT</t>
  </si>
  <si>
    <t>EBE ou EBITDA</t>
  </si>
  <si>
    <t>Marge EBE ou d'EBITDA</t>
  </si>
  <si>
    <t>Marge d'exploitation</t>
  </si>
  <si>
    <t>Rex (1-IS)/CA</t>
  </si>
  <si>
    <t>Prix de vente moyen par marchandise vendue (en euros)</t>
  </si>
  <si>
    <t>Coût direct moyen par marchandise vendue (en euros)</t>
  </si>
  <si>
    <t>Compte de résultat (en millions d'euros)</t>
  </si>
  <si>
    <t>Frais généraux (en % du CA)</t>
  </si>
  <si>
    <t>D&amp;A (en % du CA)</t>
  </si>
  <si>
    <t>Impôt sur les sociétés</t>
  </si>
  <si>
    <t>2025E</t>
  </si>
  <si>
    <t>2026E</t>
  </si>
  <si>
    <t>ROCE</t>
  </si>
  <si>
    <t>Capitaux investis</t>
  </si>
  <si>
    <t>BFR d'exploitation</t>
  </si>
  <si>
    <t>Variation du BFR</t>
  </si>
  <si>
    <t>Actif immobilisé</t>
  </si>
  <si>
    <t>Investissements annuels</t>
  </si>
  <si>
    <t>Actif économique</t>
  </si>
  <si>
    <t>CA/AE</t>
  </si>
  <si>
    <t>Hypothèses</t>
  </si>
  <si>
    <t>BFR (en % du CA)</t>
  </si>
  <si>
    <t>Dépréciations &amp; Amortissements</t>
  </si>
  <si>
    <t>Valeur d'entreprise</t>
  </si>
  <si>
    <t>Impôt</t>
  </si>
  <si>
    <t>Frais financiers</t>
  </si>
  <si>
    <t>Dividendes</t>
  </si>
  <si>
    <t>Impôt sur les sociétés (28,00%)</t>
  </si>
  <si>
    <t xml:space="preserve">Dépréciations &amp; Amortissements </t>
  </si>
  <si>
    <t>Compte de résultat simplifié</t>
  </si>
  <si>
    <t>Bilan simplifié</t>
  </si>
  <si>
    <t>Bilan (en millions d'euros)</t>
  </si>
  <si>
    <t>Immobilisations</t>
  </si>
  <si>
    <t>Capitaux propres</t>
  </si>
  <si>
    <t>Dette nette</t>
  </si>
  <si>
    <t>Dette Nette / EBITDA</t>
  </si>
  <si>
    <t>Emission de dette</t>
  </si>
  <si>
    <t>Dividendes (en % du résultat net)</t>
  </si>
  <si>
    <t>Remboursement annuel de la dette nette (en % de dette nette)</t>
  </si>
  <si>
    <t>Remboursement de la dette nette</t>
  </si>
  <si>
    <t>Tableau de flux de trésorerie (en millions d'euros)</t>
  </si>
  <si>
    <t>Nombre d'unités vendues (en millions)</t>
  </si>
  <si>
    <t>Frais généraux</t>
  </si>
  <si>
    <t>Frais de marketing</t>
  </si>
  <si>
    <t>Flux de trésorerie d'exploitation</t>
  </si>
  <si>
    <t>Frais de personnel</t>
  </si>
  <si>
    <t>Actif économique = Actif immobilisé + BFR d'exploitation</t>
  </si>
  <si>
    <t>(En millions d'euros)</t>
  </si>
  <si>
    <t>+ Amortissements</t>
  </si>
  <si>
    <t>- Investissements</t>
  </si>
  <si>
    <t>- Variation du BFR</t>
  </si>
  <si>
    <t>FCFF</t>
  </si>
  <si>
    <t>FCFF actualisés au 01/01/2021</t>
  </si>
  <si>
    <t>Marge d'EBITDA en % du CA</t>
  </si>
  <si>
    <t>- Amortissements</t>
  </si>
  <si>
    <t>Calcul de la valeur finale</t>
  </si>
  <si>
    <t>Taux de croissane infini (g)</t>
  </si>
  <si>
    <t>Valeur finale au 01/01/2021</t>
  </si>
  <si>
    <t>Stocks</t>
  </si>
  <si>
    <t>Créances clients</t>
  </si>
  <si>
    <t>Dettes fournisseurs</t>
  </si>
  <si>
    <t>Besoin en fonds de roulement d'exploitation</t>
  </si>
  <si>
    <t>Variation de trésorerie</t>
  </si>
  <si>
    <t>- Investissements annuels</t>
  </si>
  <si>
    <t>Détails du BFR d'exploitation</t>
  </si>
  <si>
    <t>Nombre de jours de stocks</t>
  </si>
  <si>
    <t>Nombre de jours de créances clients</t>
  </si>
  <si>
    <t>Nombre de jours de dettes fournisseurs</t>
  </si>
  <si>
    <t>BFR en nombres de jours de CA</t>
  </si>
  <si>
    <t>Nombre de jours d'autres créances</t>
  </si>
  <si>
    <t>Autres créances courantes</t>
  </si>
  <si>
    <t>Autres dettes courantes</t>
  </si>
  <si>
    <t>Nombre de jours d'autres dettes courantes</t>
  </si>
  <si>
    <t>Besoin en fonds de roulement d'exploitation (en % de CA)</t>
  </si>
  <si>
    <t>Echéancier de dettes (en millions d'euros)</t>
  </si>
  <si>
    <t>Emprunt</t>
  </si>
  <si>
    <t>Remboursement</t>
  </si>
  <si>
    <t>Intérêts</t>
  </si>
  <si>
    <t>Total emprunt</t>
  </si>
  <si>
    <t>Total remboursement</t>
  </si>
  <si>
    <t>Dette amortissable linéairement sur six ans</t>
  </si>
  <si>
    <t>Echéancier de dettes</t>
  </si>
  <si>
    <t>Calcul du BFR d'exploitation</t>
  </si>
  <si>
    <t>BFR d'exploitation en jours de CA</t>
  </si>
  <si>
    <t>Taux Dette senior A</t>
  </si>
  <si>
    <t>Dette Senior A sécurisée à 2.0%, due en 2022</t>
  </si>
  <si>
    <t>Dette Senior B à 2.75% due en 2024</t>
  </si>
  <si>
    <t>Tableau d'investissements (en millions d'euros)</t>
  </si>
  <si>
    <t>Rentabilité économique</t>
  </si>
  <si>
    <t>Décomposition du ROCE</t>
  </si>
  <si>
    <t>EBIT (après impôt normatif de 28,00%)</t>
  </si>
  <si>
    <t>Actif Economique</t>
  </si>
  <si>
    <t>Marge d'EBIT après impôt normatif</t>
  </si>
  <si>
    <t>Evolution des immobilisations (en millions d'euros)</t>
  </si>
  <si>
    <t>Immobilisations en début d'exercice</t>
  </si>
  <si>
    <t>Immobilisations en fin d'exercice</t>
  </si>
  <si>
    <t>Taux dette senior B</t>
  </si>
  <si>
    <t>Dette mezzanine à 10.0% due en 2030</t>
  </si>
  <si>
    <t>Taux PIK mezzanine</t>
  </si>
  <si>
    <t>Taux d'intérêt cash mezzanine</t>
  </si>
  <si>
    <t>Flux d'investissement</t>
  </si>
  <si>
    <t>Investissements annuels / Maintenance CapEx (en % du CA)</t>
  </si>
  <si>
    <t>D&amp;A Growth CapEx (en % du CA)</t>
  </si>
  <si>
    <t>Tableau d'investissements</t>
  </si>
  <si>
    <t>Ratios d'endettement</t>
  </si>
  <si>
    <t>Donc essentiel en B2B et sinon un peu de B2C</t>
  </si>
  <si>
    <t>Essentie du CA se fait en B2B</t>
  </si>
  <si>
    <t>Monter les dettes fournisseurs à 30j</t>
  </si>
  <si>
    <t>Ne pas calculer les nombres de jours</t>
  </si>
  <si>
    <t>Virer les coûts directs</t>
  </si>
  <si>
    <t>Stocks en jours de CA</t>
  </si>
  <si>
    <t>Créances lients en jours de CA</t>
  </si>
  <si>
    <t>Fournisseurs en jours de CA</t>
  </si>
  <si>
    <t>120j</t>
  </si>
  <si>
    <t>100j</t>
  </si>
  <si>
    <t>Stocks qui sont des distributers dans les boutiques et en attente</t>
  </si>
  <si>
    <t>60-70j</t>
  </si>
  <si>
    <t>La société fidélise ses distributeurs en leur accordant u crédit client</t>
  </si>
  <si>
    <t>Dépenses d'entretien</t>
  </si>
  <si>
    <t>Dépenses de développemet</t>
  </si>
  <si>
    <t>Maintennace</t>
  </si>
  <si>
    <t>en 2020</t>
  </si>
  <si>
    <t>en 2024</t>
  </si>
  <si>
    <t>Boutique</t>
  </si>
  <si>
    <t>Espace pour valoriser la marque</t>
  </si>
  <si>
    <t>Stocks (en % du CA)</t>
  </si>
  <si>
    <t>Créances clients (en % du CA)</t>
  </si>
  <si>
    <t>Autres créances courantes (en % du CA)</t>
  </si>
  <si>
    <t>Dettes fournisseurs (en % du CA)</t>
  </si>
  <si>
    <t>Autres dettes courantes (en % du CA)</t>
  </si>
  <si>
    <t>Investissements de développement</t>
  </si>
  <si>
    <t>Investissements de maintenance</t>
  </si>
  <si>
    <t>Remboursement de la dette</t>
  </si>
  <si>
    <t>Intérêts financiers</t>
  </si>
  <si>
    <t>RN</t>
  </si>
  <si>
    <t>Impot</t>
  </si>
  <si>
    <t>EBT</t>
  </si>
  <si>
    <t>Rotation de l'AE</t>
  </si>
  <si>
    <t>Investissements d'entretien</t>
  </si>
  <si>
    <t>Créances clients en nombre de jours de CA</t>
  </si>
  <si>
    <t>Stocks en nombre de jours de CA</t>
  </si>
  <si>
    <t>Autres créances en nombre de jours de CA</t>
  </si>
  <si>
    <t>Dettes fournisseurs en nombre de jours de CA</t>
  </si>
  <si>
    <t>Autres dettes courantes en nombre de jours de CA</t>
  </si>
  <si>
    <t>Résultat Net</t>
  </si>
  <si>
    <t>Dette Financière Nette / EBE</t>
  </si>
  <si>
    <t>Dette Financière Nette</t>
  </si>
  <si>
    <t>Horizon explicite</t>
  </si>
  <si>
    <t>Horizon de transition</t>
  </si>
  <si>
    <t>Valeur finale au 31/12/2028</t>
  </si>
  <si>
    <t>- IS (28,0 %)</t>
  </si>
  <si>
    <t>Investissements</t>
  </si>
  <si>
    <t>Rotation de l'actif économique</t>
  </si>
  <si>
    <t>Facteur d'actualisation (WACC à 8,5 %)</t>
  </si>
  <si>
    <t>Somme des valeurs actuelles des FCFF au 01/01/2021</t>
  </si>
  <si>
    <t>Flux normatif 2029e</t>
  </si>
  <si>
    <t>8.4</t>
  </si>
  <si>
    <t>Décomposition du besoin en fonds de roulement d'exploitation de Cible SA</t>
  </si>
  <si>
    <t>8.5</t>
  </si>
  <si>
    <t>8.6</t>
  </si>
  <si>
    <t>Bilan économique simplifié de Cible SA</t>
  </si>
  <si>
    <t>8.7</t>
  </si>
  <si>
    <t>Tableau de flux de trésorerie de Cible SA</t>
  </si>
  <si>
    <t>Compte de résultat simplifié (non-présenté dans le livre)</t>
  </si>
  <si>
    <t>Résultat net</t>
  </si>
  <si>
    <t>8.8</t>
  </si>
  <si>
    <t>8.9</t>
  </si>
  <si>
    <t>Hypothèses de formation du chiffre d'affaires et des coûts directs</t>
  </si>
  <si>
    <t>DCF simplifié</t>
  </si>
  <si>
    <t>Flux terminal</t>
  </si>
  <si>
    <t>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</si>
</sst>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%"/>
    <numFmt numFmtId="165" formatCode="#.##&quot;x&quot;"/>
    <numFmt numFmtId="166" formatCode="0.##&quot;x&quot;"/>
    <numFmt numFmtId="167" formatCode="0.0"/>
    <numFmt numFmtId="168" formatCode="#.#&quot;x&quot;"/>
    <numFmt numFmtId="169" formatCode="#.0&quot;x&quot;"/>
    <numFmt numFmtId="170" formatCode="####&quot;e&quot;"/>
    <numFmt numFmtId="171" formatCode="#&quot; j&quot;"/>
    <numFmt numFmtId="172" formatCode="0.0000"/>
    <numFmt numFmtId="173" formatCode="0.#&quot;x&quot;"/>
    <numFmt numFmtId="174" formatCode="0.0&quot; &quot;%"/>
    <numFmt numFmtId="175" formatCode="#,##0.0"/>
    <numFmt numFmtId="176" formatCode="0.00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FF"/>
      <name val="Times New Roman"/>
      <family val="1"/>
    </font>
    <font>
      <i/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2"/>
      <color rgb="FF00B050"/>
      <name val="Times New Roman"/>
      <family val="1"/>
    </font>
    <font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AEFF3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328098"/>
        <bgColor indexed="64"/>
      </patternFill>
    </fill>
    <fill>
      <patternFill patternType="solid">
        <fgColor rgb="FF93CDDD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/>
    <xf numFmtId="0" fontId="4" fillId="0" borderId="0" xfId="0" applyFont="1" applyBorder="1"/>
    <xf numFmtId="0" fontId="4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1" fontId="4" fillId="0" borderId="0" xfId="0" applyNumberFormat="1" applyFont="1"/>
    <xf numFmtId="164" fontId="3" fillId="0" borderId="0" xfId="1" applyNumberFormat="1" applyFont="1"/>
    <xf numFmtId="1" fontId="2" fillId="0" borderId="0" xfId="0" applyNumberFormat="1" applyFont="1"/>
    <xf numFmtId="164" fontId="3" fillId="0" borderId="2" xfId="1" applyNumberFormat="1" applyFont="1" applyBorder="1"/>
    <xf numFmtId="1" fontId="2" fillId="0" borderId="2" xfId="0" applyNumberFormat="1" applyFont="1" applyBorder="1"/>
    <xf numFmtId="0" fontId="2" fillId="0" borderId="3" xfId="0" applyFont="1" applyBorder="1"/>
    <xf numFmtId="1" fontId="2" fillId="0" borderId="1" xfId="0" applyNumberFormat="1" applyFont="1" applyBorder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2" fillId="0" borderId="0" xfId="0" applyFont="1" applyFill="1"/>
    <xf numFmtId="0" fontId="2" fillId="0" borderId="0" xfId="0" applyFont="1" applyBorder="1"/>
    <xf numFmtId="164" fontId="6" fillId="0" borderId="3" xfId="1" applyNumberFormat="1" applyFont="1" applyBorder="1"/>
    <xf numFmtId="164" fontId="6" fillId="0" borderId="0" xfId="1" applyNumberFormat="1" applyFont="1" applyBorder="1"/>
    <xf numFmtId="1" fontId="2" fillId="0" borderId="0" xfId="0" applyNumberFormat="1" applyFont="1" applyBorder="1"/>
    <xf numFmtId="3" fontId="2" fillId="0" borderId="0" xfId="0" applyNumberFormat="1" applyFont="1"/>
    <xf numFmtId="0" fontId="2" fillId="0" borderId="2" xfId="0" applyFont="1" applyFill="1" applyBorder="1"/>
    <xf numFmtId="3" fontId="4" fillId="0" borderId="0" xfId="0" applyNumberFormat="1" applyFont="1" applyBorder="1"/>
    <xf numFmtId="0" fontId="4" fillId="3" borderId="0" xfId="0" applyFont="1" applyFill="1"/>
    <xf numFmtId="1" fontId="4" fillId="3" borderId="0" xfId="0" applyNumberFormat="1" applyFont="1" applyFill="1"/>
    <xf numFmtId="0" fontId="3" fillId="3" borderId="2" xfId="0" applyFont="1" applyFill="1" applyBorder="1"/>
    <xf numFmtId="164" fontId="3" fillId="3" borderId="2" xfId="1" applyNumberFormat="1" applyFont="1" applyFill="1" applyBorder="1"/>
    <xf numFmtId="0" fontId="4" fillId="3" borderId="0" xfId="0" applyFont="1" applyFill="1" applyBorder="1"/>
    <xf numFmtId="1" fontId="4" fillId="3" borderId="0" xfId="0" applyNumberFormat="1" applyFont="1" applyFill="1" applyBorder="1"/>
    <xf numFmtId="0" fontId="4" fillId="4" borderId="6" xfId="0" applyFont="1" applyFill="1" applyBorder="1"/>
    <xf numFmtId="164" fontId="6" fillId="4" borderId="6" xfId="1" applyNumberFormat="1" applyFont="1" applyFill="1" applyBorder="1"/>
    <xf numFmtId="3" fontId="4" fillId="3" borderId="0" xfId="0" applyNumberFormat="1" applyFont="1" applyFill="1" applyBorder="1"/>
    <xf numFmtId="0" fontId="4" fillId="4" borderId="2" xfId="0" applyFont="1" applyFill="1" applyBorder="1"/>
    <xf numFmtId="4" fontId="4" fillId="4" borderId="2" xfId="0" applyNumberFormat="1" applyFont="1" applyFill="1" applyBorder="1"/>
    <xf numFmtId="0" fontId="4" fillId="4" borderId="3" xfId="0" applyFont="1" applyFill="1" applyBorder="1"/>
    <xf numFmtId="164" fontId="4" fillId="4" borderId="3" xfId="1" applyNumberFormat="1" applyFont="1" applyFill="1" applyBorder="1"/>
    <xf numFmtId="0" fontId="4" fillId="4" borderId="3" xfId="0" applyFont="1" applyFill="1" applyBorder="1" applyAlignment="1">
      <alignment horizontal="right"/>
    </xf>
    <xf numFmtId="1" fontId="4" fillId="4" borderId="6" xfId="0" applyNumberFormat="1" applyFont="1" applyFill="1" applyBorder="1"/>
    <xf numFmtId="0" fontId="4" fillId="3" borderId="1" xfId="0" applyFont="1" applyFill="1" applyBorder="1"/>
    <xf numFmtId="1" fontId="4" fillId="3" borderId="1" xfId="0" applyNumberFormat="1" applyFont="1" applyFill="1" applyBorder="1"/>
    <xf numFmtId="10" fontId="7" fillId="0" borderId="0" xfId="0" applyNumberFormat="1" applyFont="1" applyBorder="1"/>
    <xf numFmtId="164" fontId="8" fillId="0" borderId="0" xfId="1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2" fillId="0" borderId="0" xfId="0" quotePrefix="1" applyFont="1"/>
    <xf numFmtId="0" fontId="4" fillId="3" borderId="6" xfId="0" applyFont="1" applyFill="1" applyBorder="1"/>
    <xf numFmtId="1" fontId="4" fillId="3" borderId="6" xfId="0" applyNumberFormat="1" applyFont="1" applyFill="1" applyBorder="1"/>
    <xf numFmtId="165" fontId="2" fillId="0" borderId="3" xfId="0" applyNumberFormat="1" applyFont="1" applyBorder="1"/>
    <xf numFmtId="9" fontId="2" fillId="0" borderId="0" xfId="0" applyNumberFormat="1" applyFont="1"/>
    <xf numFmtId="0" fontId="2" fillId="0" borderId="7" xfId="0" applyFont="1" applyBorder="1"/>
    <xf numFmtId="10" fontId="7" fillId="0" borderId="7" xfId="0" applyNumberFormat="1" applyFont="1" applyBorder="1"/>
    <xf numFmtId="167" fontId="2" fillId="0" borderId="0" xfId="0" applyNumberFormat="1" applyFont="1"/>
    <xf numFmtId="10" fontId="7" fillId="0" borderId="3" xfId="0" applyNumberFormat="1" applyFont="1" applyBorder="1"/>
    <xf numFmtId="0" fontId="4" fillId="5" borderId="3" xfId="0" applyFont="1" applyFill="1" applyBorder="1"/>
    <xf numFmtId="167" fontId="4" fillId="5" borderId="3" xfId="0" applyNumberFormat="1" applyFont="1" applyFill="1" applyBorder="1"/>
    <xf numFmtId="164" fontId="2" fillId="0" borderId="0" xfId="0" applyNumberFormat="1" applyFont="1"/>
    <xf numFmtId="1" fontId="7" fillId="0" borderId="0" xfId="0" applyNumberFormat="1" applyFont="1"/>
    <xf numFmtId="166" fontId="2" fillId="0" borderId="3" xfId="0" applyNumberFormat="1" applyFont="1" applyBorder="1"/>
    <xf numFmtId="2" fontId="2" fillId="0" borderId="0" xfId="0" applyNumberFormat="1" applyFont="1"/>
    <xf numFmtId="164" fontId="2" fillId="0" borderId="0" xfId="1" applyNumberFormat="1" applyFont="1"/>
    <xf numFmtId="170" fontId="4" fillId="0" borderId="3" xfId="0" applyNumberFormat="1" applyFont="1" applyBorder="1"/>
    <xf numFmtId="0" fontId="2" fillId="0" borderId="0" xfId="0" quotePrefix="1" applyFont="1" applyAlignment="1">
      <alignment horizontal="left" inden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/>
    <xf numFmtId="10" fontId="2" fillId="0" borderId="0" xfId="0" applyNumberFormat="1" applyFont="1"/>
    <xf numFmtId="1" fontId="7" fillId="0" borderId="0" xfId="0" applyNumberFormat="1" applyFont="1" applyBorder="1"/>
    <xf numFmtId="171" fontId="4" fillId="3" borderId="1" xfId="0" applyNumberFormat="1" applyFont="1" applyFill="1" applyBorder="1"/>
    <xf numFmtId="171" fontId="4" fillId="4" borderId="6" xfId="0" applyNumberFormat="1" applyFont="1" applyFill="1" applyBorder="1"/>
    <xf numFmtId="172" fontId="2" fillId="0" borderId="0" xfId="0" applyNumberFormat="1" applyFont="1"/>
    <xf numFmtId="0" fontId="4" fillId="0" borderId="0" xfId="0" applyFont="1" applyFill="1" applyBorder="1"/>
    <xf numFmtId="1" fontId="4" fillId="0" borderId="0" xfId="0" applyNumberFormat="1" applyFont="1" applyFill="1" applyBorder="1"/>
    <xf numFmtId="1" fontId="4" fillId="4" borderId="3" xfId="0" applyNumberFormat="1" applyFont="1" applyFill="1" applyBorder="1"/>
    <xf numFmtId="0" fontId="4" fillId="4" borderId="0" xfId="0" applyFont="1" applyFill="1"/>
    <xf numFmtId="1" fontId="4" fillId="4" borderId="0" xfId="0" applyNumberFormat="1" applyFont="1" applyFill="1"/>
    <xf numFmtId="0" fontId="9" fillId="0" borderId="0" xfId="0" applyFont="1"/>
    <xf numFmtId="1" fontId="9" fillId="0" borderId="0" xfId="0" applyNumberFormat="1" applyFont="1"/>
    <xf numFmtId="1" fontId="10" fillId="0" borderId="0" xfId="0" applyNumberFormat="1" applyFont="1"/>
    <xf numFmtId="1" fontId="7" fillId="0" borderId="2" xfId="0" applyNumberFormat="1" applyFont="1" applyBorder="1"/>
    <xf numFmtId="0" fontId="2" fillId="4" borderId="0" xfId="0" applyFont="1" applyFill="1"/>
    <xf numFmtId="164" fontId="4" fillId="3" borderId="1" xfId="1" applyNumberFormat="1" applyFont="1" applyFill="1" applyBorder="1"/>
    <xf numFmtId="3" fontId="2" fillId="0" borderId="2" xfId="0" applyNumberFormat="1" applyFont="1" applyBorder="1"/>
    <xf numFmtId="2" fontId="4" fillId="3" borderId="1" xfId="0" applyNumberFormat="1" applyFont="1" applyFill="1" applyBorder="1"/>
    <xf numFmtId="164" fontId="4" fillId="4" borderId="0" xfId="1" applyNumberFormat="1" applyFont="1" applyFill="1"/>
    <xf numFmtId="0" fontId="2" fillId="4" borderId="3" xfId="0" applyFont="1" applyFill="1" applyBorder="1"/>
    <xf numFmtId="0" fontId="4" fillId="0" borderId="0" xfId="0" applyFont="1" applyBorder="1" applyAlignment="1">
      <alignment horizontal="right"/>
    </xf>
    <xf numFmtId="9" fontId="2" fillId="0" borderId="0" xfId="1" applyFont="1"/>
    <xf numFmtId="0" fontId="4" fillId="4" borderId="8" xfId="0" applyFont="1" applyFill="1" applyBorder="1"/>
    <xf numFmtId="1" fontId="4" fillId="4" borderId="8" xfId="0" applyNumberFormat="1" applyFont="1" applyFill="1" applyBorder="1"/>
    <xf numFmtId="10" fontId="8" fillId="0" borderId="0" xfId="0" applyNumberFormat="1" applyFont="1"/>
    <xf numFmtId="10" fontId="8" fillId="0" borderId="0" xfId="1" applyNumberFormat="1" applyFont="1" applyBorder="1"/>
    <xf numFmtId="10" fontId="8" fillId="0" borderId="0" xfId="0" applyNumberFormat="1" applyFont="1" applyBorder="1"/>
    <xf numFmtId="10" fontId="8" fillId="0" borderId="3" xfId="0" applyNumberFormat="1" applyFont="1" applyBorder="1"/>
    <xf numFmtId="0" fontId="11" fillId="0" borderId="0" xfId="0" applyFont="1" applyBorder="1"/>
    <xf numFmtId="164" fontId="4" fillId="0" borderId="0" xfId="1" applyNumberFormat="1" applyFont="1" applyBorder="1"/>
    <xf numFmtId="9" fontId="4" fillId="0" borderId="0" xfId="1" applyFont="1" applyBorder="1"/>
    <xf numFmtId="0" fontId="4" fillId="3" borderId="3" xfId="0" applyFont="1" applyFill="1" applyBorder="1"/>
    <xf numFmtId="1" fontId="4" fillId="3" borderId="3" xfId="0" applyNumberFormat="1" applyFont="1" applyFill="1" applyBorder="1"/>
    <xf numFmtId="1" fontId="2" fillId="0" borderId="0" xfId="0" applyNumberFormat="1" applyFont="1" applyFill="1" applyBorder="1"/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1" fontId="4" fillId="0" borderId="0" xfId="0" applyNumberFormat="1" applyFont="1" applyFill="1"/>
    <xf numFmtId="171" fontId="4" fillId="0" borderId="0" xfId="0" applyNumberFormat="1" applyFont="1" applyFill="1" applyBorder="1"/>
    <xf numFmtId="168" fontId="2" fillId="0" borderId="3" xfId="0" applyNumberFormat="1" applyFont="1" applyBorder="1"/>
    <xf numFmtId="169" fontId="2" fillId="0" borderId="3" xfId="0" applyNumberFormat="1" applyFont="1" applyBorder="1"/>
    <xf numFmtId="173" fontId="2" fillId="0" borderId="3" xfId="0" applyNumberFormat="1" applyFont="1" applyBorder="1"/>
    <xf numFmtId="174" fontId="3" fillId="0" borderId="0" xfId="1" applyNumberFormat="1" applyFont="1" applyAlignment="1">
      <alignment horizontal="right"/>
    </xf>
    <xf numFmtId="174" fontId="3" fillId="0" borderId="0" xfId="1" applyNumberFormat="1" applyFont="1" applyFill="1" applyAlignment="1">
      <alignment horizontal="right"/>
    </xf>
    <xf numFmtId="174" fontId="3" fillId="0" borderId="0" xfId="0" applyNumberFormat="1" applyFont="1" applyFill="1" applyAlignment="1">
      <alignment horizontal="right"/>
    </xf>
    <xf numFmtId="174" fontId="3" fillId="0" borderId="0" xfId="0" applyNumberFormat="1" applyFont="1" applyAlignment="1">
      <alignment horizontal="right"/>
    </xf>
    <xf numFmtId="174" fontId="3" fillId="0" borderId="0" xfId="1" applyNumberFormat="1" applyFont="1"/>
    <xf numFmtId="174" fontId="3" fillId="0" borderId="2" xfId="1" applyNumberFormat="1" applyFont="1" applyBorder="1"/>
    <xf numFmtId="174" fontId="3" fillId="3" borderId="2" xfId="1" applyNumberFormat="1" applyFont="1" applyFill="1" applyBorder="1"/>
    <xf numFmtId="174" fontId="6" fillId="4" borderId="6" xfId="1" applyNumberFormat="1" applyFont="1" applyFill="1" applyBorder="1"/>
    <xf numFmtId="0" fontId="3" fillId="0" borderId="0" xfId="0" applyFont="1" applyBorder="1"/>
    <xf numFmtId="164" fontId="3" fillId="0" borderId="0" xfId="1" applyNumberFormat="1" applyFont="1" applyBorder="1"/>
    <xf numFmtId="174" fontId="3" fillId="0" borderId="0" xfId="1" applyNumberFormat="1" applyFont="1" applyBorder="1"/>
    <xf numFmtId="174" fontId="4" fillId="4" borderId="0" xfId="1" applyNumberFormat="1" applyFont="1" applyFill="1"/>
    <xf numFmtId="174" fontId="4" fillId="3" borderId="1" xfId="1" applyNumberFormat="1" applyFont="1" applyFill="1" applyBorder="1"/>
    <xf numFmtId="174" fontId="4" fillId="4" borderId="5" xfId="0" applyNumberFormat="1" applyFont="1" applyFill="1" applyBorder="1"/>
    <xf numFmtId="170" fontId="2" fillId="0" borderId="0" xfId="0" applyNumberFormat="1" applyFont="1"/>
    <xf numFmtId="175" fontId="4" fillId="0" borderId="0" xfId="0" applyNumberFormat="1" applyFont="1"/>
    <xf numFmtId="175" fontId="2" fillId="0" borderId="0" xfId="0" applyNumberFormat="1" applyFont="1"/>
    <xf numFmtId="175" fontId="2" fillId="0" borderId="2" xfId="0" applyNumberFormat="1" applyFont="1" applyBorder="1"/>
    <xf numFmtId="167" fontId="4" fillId="0" borderId="0" xfId="0" applyNumberFormat="1" applyFont="1"/>
    <xf numFmtId="167" fontId="4" fillId="4" borderId="5" xfId="0" applyNumberFormat="1" applyFont="1" applyFill="1" applyBorder="1" applyAlignment="1">
      <alignment vertical="center"/>
    </xf>
    <xf numFmtId="164" fontId="3" fillId="0" borderId="0" xfId="1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3" xfId="0" applyFont="1" applyBorder="1"/>
    <xf numFmtId="164" fontId="3" fillId="0" borderId="3" xfId="0" applyNumberFormat="1" applyFont="1" applyBorder="1" applyAlignment="1">
      <alignment horizontal="right"/>
    </xf>
    <xf numFmtId="176" fontId="2" fillId="0" borderId="0" xfId="0" applyNumberFormat="1" applyFont="1"/>
    <xf numFmtId="167" fontId="2" fillId="0" borderId="2" xfId="0" applyNumberFormat="1" applyFont="1" applyBorder="1"/>
    <xf numFmtId="0" fontId="5" fillId="7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00FF"/>
      <color rgb="FFDAEFF3"/>
      <color rgb="FF93CDDD"/>
      <color rgb="FF328098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2433-2E8A-2E44-A678-60AF834B7D69}">
  <dimension ref="A2:U226"/>
  <sheetViews>
    <sheetView showGridLines="0" topLeftCell="A64" zoomScale="108" zoomScaleNormal="90" workbookViewId="0">
      <selection activeCell="E89" sqref="E89:L89"/>
    </sheetView>
  </sheetViews>
  <sheetFormatPr baseColWidth="10" defaultColWidth="10.796875" defaultRowHeight="15.6" x14ac:dyDescent="0.3"/>
  <cols>
    <col min="1" max="3" width="5.796875" style="1" customWidth="1"/>
    <col min="4" max="4" width="54.296875" style="1" bestFit="1" customWidth="1"/>
    <col min="5" max="5" width="10.796875" style="1" customWidth="1"/>
    <col min="6" max="14" width="10.796875" style="1"/>
    <col min="15" max="21" width="12.69921875" style="1" bestFit="1" customWidth="1"/>
    <col min="22" max="16384" width="10.796875" style="1"/>
  </cols>
  <sheetData>
    <row r="2" spans="1:20" s="21" customFormat="1" x14ac:dyDescent="0.3">
      <c r="A2" s="1"/>
      <c r="B2" s="19">
        <v>1</v>
      </c>
      <c r="C2" s="1"/>
      <c r="D2" s="20" t="s">
        <v>0</v>
      </c>
      <c r="E2" s="20"/>
    </row>
    <row r="4" spans="1:20" ht="16.2" thickBot="1" x14ac:dyDescent="0.35">
      <c r="D4" s="41" t="s">
        <v>34</v>
      </c>
      <c r="E4" s="41">
        <v>2019</v>
      </c>
      <c r="F4" s="41">
        <v>2020</v>
      </c>
      <c r="G4" s="43" t="s">
        <v>2</v>
      </c>
      <c r="H4" s="43" t="s">
        <v>3</v>
      </c>
      <c r="I4" s="43" t="s">
        <v>4</v>
      </c>
      <c r="J4" s="43" t="s">
        <v>5</v>
      </c>
      <c r="K4" s="43" t="s">
        <v>24</v>
      </c>
      <c r="L4" s="43" t="s">
        <v>25</v>
      </c>
    </row>
    <row r="5" spans="1:20" x14ac:dyDescent="0.3">
      <c r="D5" s="1" t="s">
        <v>21</v>
      </c>
      <c r="E5" s="94" t="e">
        <f>#REF!</f>
        <v>#REF!</v>
      </c>
      <c r="F5" s="94">
        <v>0.28000000000000003</v>
      </c>
      <c r="G5" s="94">
        <v>0.28000000000000003</v>
      </c>
      <c r="H5" s="94">
        <v>0.27</v>
      </c>
      <c r="I5" s="94">
        <v>0.27</v>
      </c>
      <c r="J5" s="94">
        <v>0.26500000000000001</v>
      </c>
      <c r="K5" s="94">
        <v>0.26500000000000001</v>
      </c>
      <c r="L5" s="94">
        <v>0.26500000000000001</v>
      </c>
      <c r="N5" s="91"/>
      <c r="O5" s="91"/>
      <c r="P5" s="91"/>
      <c r="Q5" s="91"/>
      <c r="R5" s="91"/>
      <c r="S5" s="91"/>
      <c r="T5" s="91"/>
    </row>
    <row r="6" spans="1:20" x14ac:dyDescent="0.3">
      <c r="D6" s="1" t="s">
        <v>22</v>
      </c>
      <c r="E6" s="95" t="e">
        <f>#REF!</f>
        <v>#REF!</v>
      </c>
      <c r="F6" s="95">
        <f>F10/1.1</f>
        <v>5.909090909090909E-2</v>
      </c>
      <c r="G6" s="95">
        <f t="shared" ref="G6:L6" si="0">G10/1.1</f>
        <v>5.909090909090909E-2</v>
      </c>
      <c r="H6" s="95">
        <f t="shared" si="0"/>
        <v>5.909090909090909E-2</v>
      </c>
      <c r="I6" s="95">
        <f t="shared" si="0"/>
        <v>5.909090909090909E-2</v>
      </c>
      <c r="J6" s="95">
        <f t="shared" si="0"/>
        <v>5.909090909090909E-2</v>
      </c>
      <c r="K6" s="95">
        <f t="shared" si="0"/>
        <v>5.909090909090909E-2</v>
      </c>
      <c r="L6" s="95">
        <f t="shared" si="0"/>
        <v>5.909090909090909E-2</v>
      </c>
    </row>
    <row r="7" spans="1:20" x14ac:dyDescent="0.3">
      <c r="D7" s="1" t="s">
        <v>116</v>
      </c>
      <c r="E7" s="95">
        <f>1/6</f>
        <v>0.16666666666666666</v>
      </c>
      <c r="F7" s="95">
        <f t="shared" ref="F7:L7" si="1">1/6</f>
        <v>0.16666666666666666</v>
      </c>
      <c r="G7" s="95">
        <f t="shared" si="1"/>
        <v>0.16666666666666666</v>
      </c>
      <c r="H7" s="95">
        <f t="shared" si="1"/>
        <v>0.16666666666666666</v>
      </c>
      <c r="I7" s="95">
        <f t="shared" si="1"/>
        <v>0.16666666666666666</v>
      </c>
      <c r="J7" s="95">
        <f t="shared" si="1"/>
        <v>0.16666666666666666</v>
      </c>
      <c r="K7" s="95">
        <f t="shared" si="1"/>
        <v>0.16666666666666666</v>
      </c>
      <c r="L7" s="95">
        <f t="shared" si="1"/>
        <v>0.16666666666666666</v>
      </c>
    </row>
    <row r="8" spans="1:20" x14ac:dyDescent="0.3">
      <c r="D8" s="23" t="s">
        <v>23</v>
      </c>
      <c r="E8" s="96" t="e">
        <f>#REF!</f>
        <v>#REF!</v>
      </c>
      <c r="F8" s="96">
        <v>0.28000000000000003</v>
      </c>
      <c r="G8" s="96">
        <v>0.28000000000000003</v>
      </c>
      <c r="H8" s="96">
        <v>0.28000000000000003</v>
      </c>
      <c r="I8" s="96">
        <v>0.28000000000000003</v>
      </c>
      <c r="J8" s="96">
        <v>0.28000000000000003</v>
      </c>
      <c r="K8" s="96">
        <v>0.28000000000000003</v>
      </c>
      <c r="L8" s="96">
        <v>0.28000000000000003</v>
      </c>
      <c r="M8" s="23"/>
    </row>
    <row r="9" spans="1:20" x14ac:dyDescent="0.3">
      <c r="D9" s="23" t="s">
        <v>35</v>
      </c>
      <c r="E9" s="96">
        <v>0.15</v>
      </c>
      <c r="F9" s="96">
        <v>0.15</v>
      </c>
      <c r="G9" s="96">
        <v>0.14749999999999999</v>
      </c>
      <c r="H9" s="96">
        <v>0.14499999999999999</v>
      </c>
      <c r="I9" s="96">
        <v>0.14499999999999999</v>
      </c>
      <c r="J9" s="96">
        <v>0.14499999999999999</v>
      </c>
      <c r="K9" s="96">
        <v>0.14249999999999999</v>
      </c>
      <c r="L9" s="96">
        <v>0.14000000000000001</v>
      </c>
    </row>
    <row r="10" spans="1:20" ht="16.2" thickBot="1" x14ac:dyDescent="0.35">
      <c r="D10" s="17" t="s">
        <v>115</v>
      </c>
      <c r="E10" s="97">
        <v>0.06</v>
      </c>
      <c r="F10" s="97">
        <v>6.5000000000000002E-2</v>
      </c>
      <c r="G10" s="97">
        <v>6.5000000000000002E-2</v>
      </c>
      <c r="H10" s="97">
        <v>6.5000000000000002E-2</v>
      </c>
      <c r="I10" s="97">
        <v>6.5000000000000002E-2</v>
      </c>
      <c r="J10" s="97">
        <v>6.5000000000000002E-2</v>
      </c>
      <c r="K10" s="97">
        <v>6.5000000000000002E-2</v>
      </c>
      <c r="L10" s="97">
        <v>6.5000000000000002E-2</v>
      </c>
    </row>
    <row r="13" spans="1:20" x14ac:dyDescent="0.3">
      <c r="D13" s="3" t="s">
        <v>7</v>
      </c>
      <c r="E13" s="3"/>
      <c r="F13" s="3"/>
    </row>
    <row r="14" spans="1:20" ht="16.2" thickBot="1" x14ac:dyDescent="0.35">
      <c r="D14" s="4"/>
      <c r="E14" s="4">
        <v>2019</v>
      </c>
      <c r="F14" s="4">
        <v>2020</v>
      </c>
      <c r="G14" s="9" t="s">
        <v>2</v>
      </c>
      <c r="H14" s="9" t="s">
        <v>3</v>
      </c>
      <c r="I14" s="9" t="s">
        <v>4</v>
      </c>
      <c r="J14" s="9" t="s">
        <v>5</v>
      </c>
      <c r="K14" s="9" t="s">
        <v>24</v>
      </c>
      <c r="L14" s="9" t="s">
        <v>25</v>
      </c>
      <c r="P14" s="50"/>
    </row>
    <row r="15" spans="1:20" ht="7.95" customHeight="1" x14ac:dyDescent="0.3">
      <c r="G15" s="10"/>
      <c r="H15" s="10"/>
      <c r="I15" s="10"/>
      <c r="J15" s="10"/>
      <c r="K15" s="10"/>
      <c r="L15" s="10"/>
    </row>
    <row r="16" spans="1:20" x14ac:dyDescent="0.3">
      <c r="D16" s="1" t="s">
        <v>55</v>
      </c>
      <c r="E16" s="11" t="e">
        <f>#REF!</f>
        <v>#REF!</v>
      </c>
      <c r="F16" s="11" t="e">
        <f t="shared" ref="F16:L16" si="2">E16*(1+F17)</f>
        <v>#REF!</v>
      </c>
      <c r="G16" s="11" t="e">
        <f t="shared" si="2"/>
        <v>#REF!</v>
      </c>
      <c r="H16" s="11" t="e">
        <f t="shared" si="2"/>
        <v>#REF!</v>
      </c>
      <c r="I16" s="11" t="e">
        <f t="shared" si="2"/>
        <v>#REF!</v>
      </c>
      <c r="J16" s="11" t="e">
        <f t="shared" si="2"/>
        <v>#REF!</v>
      </c>
      <c r="K16" s="11" t="e">
        <f t="shared" si="2"/>
        <v>#REF!</v>
      </c>
      <c r="L16" s="11" t="e">
        <f t="shared" si="2"/>
        <v>#REF!</v>
      </c>
      <c r="P16" s="50"/>
    </row>
    <row r="17" spans="4:14" x14ac:dyDescent="0.3">
      <c r="D17" s="2" t="s">
        <v>8</v>
      </c>
      <c r="E17" s="48"/>
      <c r="F17" s="48">
        <v>-0.17</v>
      </c>
      <c r="G17" s="48">
        <v>0.06</v>
      </c>
      <c r="H17" s="49">
        <v>7.0000000000000007E-2</v>
      </c>
      <c r="I17" s="49">
        <v>0.08</v>
      </c>
      <c r="J17" s="49">
        <v>0.08</v>
      </c>
      <c r="K17" s="49">
        <v>0.05</v>
      </c>
      <c r="L17" s="49">
        <v>0.05</v>
      </c>
      <c r="M17" s="61"/>
      <c r="N17" s="65"/>
    </row>
    <row r="18" spans="4:14" x14ac:dyDescent="0.3">
      <c r="D18" s="1" t="s">
        <v>18</v>
      </c>
      <c r="E18" s="11" t="e">
        <f>#REF!</f>
        <v>#REF!</v>
      </c>
      <c r="F18" s="11" t="e">
        <f t="shared" ref="F18:L18" si="3">E18*(1+F19)</f>
        <v>#REF!</v>
      </c>
      <c r="G18" s="11" t="e">
        <f t="shared" si="3"/>
        <v>#REF!</v>
      </c>
      <c r="H18" s="11" t="e">
        <f t="shared" si="3"/>
        <v>#REF!</v>
      </c>
      <c r="I18" s="11" t="e">
        <f t="shared" si="3"/>
        <v>#REF!</v>
      </c>
      <c r="J18" s="11" t="e">
        <f t="shared" si="3"/>
        <v>#REF!</v>
      </c>
      <c r="K18" s="11" t="e">
        <f t="shared" si="3"/>
        <v>#REF!</v>
      </c>
      <c r="L18" s="11" t="e">
        <f t="shared" si="3"/>
        <v>#REF!</v>
      </c>
    </row>
    <row r="19" spans="4:14" x14ac:dyDescent="0.3">
      <c r="D19" s="2" t="s">
        <v>8</v>
      </c>
      <c r="E19" s="49"/>
      <c r="F19" s="49" t="e">
        <f>#REF!</f>
        <v>#REF!</v>
      </c>
      <c r="G19" s="49">
        <v>0.01</v>
      </c>
      <c r="H19" s="49">
        <v>1.2E-2</v>
      </c>
      <c r="I19" s="49">
        <f>H19+0.1%</f>
        <v>1.3000000000000001E-2</v>
      </c>
      <c r="J19" s="49">
        <v>1.2E-2</v>
      </c>
      <c r="K19" s="49">
        <v>1.0999999999999999E-2</v>
      </c>
      <c r="L19" s="49">
        <v>0.01</v>
      </c>
      <c r="M19" s="61"/>
      <c r="N19" s="65"/>
    </row>
    <row r="20" spans="4:14" x14ac:dyDescent="0.3">
      <c r="D20" s="1" t="s">
        <v>19</v>
      </c>
      <c r="E20" s="11" t="e">
        <f>#REF!</f>
        <v>#REF!</v>
      </c>
      <c r="F20" s="11" t="e">
        <f t="shared" ref="F20:L20" si="4">E20*(1+F21)</f>
        <v>#REF!</v>
      </c>
      <c r="G20" s="11" t="e">
        <f t="shared" si="4"/>
        <v>#REF!</v>
      </c>
      <c r="H20" s="11" t="e">
        <f t="shared" si="4"/>
        <v>#REF!</v>
      </c>
      <c r="I20" s="11" t="e">
        <f t="shared" si="4"/>
        <v>#REF!</v>
      </c>
      <c r="J20" s="11" t="e">
        <f t="shared" si="4"/>
        <v>#REF!</v>
      </c>
      <c r="K20" s="11" t="e">
        <f t="shared" si="4"/>
        <v>#REF!</v>
      </c>
      <c r="L20" s="11" t="e">
        <f t="shared" si="4"/>
        <v>#REF!</v>
      </c>
    </row>
    <row r="21" spans="4:14" x14ac:dyDescent="0.3">
      <c r="D21" s="2" t="s">
        <v>8</v>
      </c>
      <c r="E21" s="49"/>
      <c r="F21" s="49" t="e">
        <f>#REF!</f>
        <v>#REF!</v>
      </c>
      <c r="G21" s="49">
        <v>-1.2500000000000001E-2</v>
      </c>
      <c r="H21" s="49">
        <v>-1.2E-2</v>
      </c>
      <c r="I21" s="49">
        <v>-1.2E-2</v>
      </c>
      <c r="J21" s="49">
        <v>-1.0999999999999999E-2</v>
      </c>
      <c r="K21" s="49">
        <v>-0.01</v>
      </c>
      <c r="L21" s="49">
        <v>-0.01</v>
      </c>
    </row>
    <row r="22" spans="4:14" x14ac:dyDescent="0.3">
      <c r="G22" s="10"/>
      <c r="H22" s="10"/>
      <c r="I22" s="10"/>
      <c r="J22" s="10"/>
      <c r="K22" s="10"/>
      <c r="L22" s="10"/>
    </row>
    <row r="23" spans="4:14" ht="16.2" thickBot="1" x14ac:dyDescent="0.35">
      <c r="D23" s="4" t="s">
        <v>20</v>
      </c>
      <c r="E23" s="4">
        <v>2019</v>
      </c>
      <c r="F23" s="4">
        <v>2020</v>
      </c>
      <c r="G23" s="9" t="s">
        <v>2</v>
      </c>
      <c r="H23" s="9" t="s">
        <v>3</v>
      </c>
      <c r="I23" s="9" t="s">
        <v>4</v>
      </c>
      <c r="J23" s="9" t="s">
        <v>5</v>
      </c>
      <c r="K23" s="9" t="s">
        <v>24</v>
      </c>
      <c r="L23" s="9" t="s">
        <v>25</v>
      </c>
    </row>
    <row r="24" spans="4:14" ht="7.95" customHeight="1" x14ac:dyDescent="0.3"/>
    <row r="25" spans="4:14" x14ac:dyDescent="0.3">
      <c r="D25" s="3" t="s">
        <v>9</v>
      </c>
      <c r="E25" s="12" t="e">
        <f>#REF!</f>
        <v>#REF!</v>
      </c>
      <c r="F25" s="12" t="e">
        <f t="shared" ref="F25:L25" si="5">F16*F18</f>
        <v>#REF!</v>
      </c>
      <c r="G25" s="12" t="e">
        <f t="shared" si="5"/>
        <v>#REF!</v>
      </c>
      <c r="H25" s="12" t="e">
        <f t="shared" si="5"/>
        <v>#REF!</v>
      </c>
      <c r="I25" s="12" t="e">
        <f t="shared" si="5"/>
        <v>#REF!</v>
      </c>
      <c r="J25" s="12" t="e">
        <f t="shared" si="5"/>
        <v>#REF!</v>
      </c>
      <c r="K25" s="12" t="e">
        <f t="shared" si="5"/>
        <v>#REF!</v>
      </c>
      <c r="L25" s="12" t="e">
        <f t="shared" si="5"/>
        <v>#REF!</v>
      </c>
    </row>
    <row r="26" spans="4:14" x14ac:dyDescent="0.3">
      <c r="D26" s="2" t="s">
        <v>8</v>
      </c>
      <c r="E26" s="13"/>
      <c r="F26" s="13" t="e">
        <f>#REF!</f>
        <v>#REF!</v>
      </c>
      <c r="G26" s="13" t="e">
        <f t="shared" ref="G26:L26" si="6">(G25/F25)-1</f>
        <v>#REF!</v>
      </c>
      <c r="H26" s="13" t="e">
        <f t="shared" si="6"/>
        <v>#REF!</v>
      </c>
      <c r="I26" s="13" t="e">
        <f t="shared" si="6"/>
        <v>#REF!</v>
      </c>
      <c r="J26" s="13" t="e">
        <f t="shared" si="6"/>
        <v>#REF!</v>
      </c>
      <c r="K26" s="13" t="e">
        <f t="shared" si="6"/>
        <v>#REF!</v>
      </c>
      <c r="L26" s="13" t="e">
        <f t="shared" si="6"/>
        <v>#REF!</v>
      </c>
      <c r="M26" s="61"/>
      <c r="N26" s="65"/>
    </row>
    <row r="27" spans="4:14" x14ac:dyDescent="0.3">
      <c r="D27" s="1" t="s">
        <v>10</v>
      </c>
      <c r="E27" s="14" t="e">
        <f>#REF!</f>
        <v>#REF!</v>
      </c>
      <c r="F27" s="14" t="e">
        <f>-F16*F20</f>
        <v>#REF!</v>
      </c>
      <c r="G27" s="14" t="e">
        <f t="shared" ref="G27:L27" si="7">-G16*G20</f>
        <v>#REF!</v>
      </c>
      <c r="H27" s="14" t="e">
        <f t="shared" si="7"/>
        <v>#REF!</v>
      </c>
      <c r="I27" s="14" t="e">
        <f t="shared" si="7"/>
        <v>#REF!</v>
      </c>
      <c r="J27" s="14" t="e">
        <f t="shared" si="7"/>
        <v>#REF!</v>
      </c>
      <c r="K27" s="14" t="e">
        <f t="shared" si="7"/>
        <v>#REF!</v>
      </c>
      <c r="L27" s="14" t="e">
        <f t="shared" si="7"/>
        <v>#REF!</v>
      </c>
    </row>
    <row r="28" spans="4:14" x14ac:dyDescent="0.3">
      <c r="D28" s="7" t="s">
        <v>11</v>
      </c>
      <c r="E28" s="15" t="e">
        <f>#REF!</f>
        <v>#REF!</v>
      </c>
      <c r="F28" s="15" t="e">
        <f>-F27/F25</f>
        <v>#REF!</v>
      </c>
      <c r="G28" s="15" t="e">
        <f t="shared" ref="G28:L28" si="8">-G27/G25</f>
        <v>#REF!</v>
      </c>
      <c r="H28" s="15" t="e">
        <f t="shared" si="8"/>
        <v>#REF!</v>
      </c>
      <c r="I28" s="15" t="e">
        <f t="shared" si="8"/>
        <v>#REF!</v>
      </c>
      <c r="J28" s="15" t="e">
        <f t="shared" si="8"/>
        <v>#REF!</v>
      </c>
      <c r="K28" s="15" t="e">
        <f t="shared" si="8"/>
        <v>#REF!</v>
      </c>
      <c r="L28" s="15" t="e">
        <f t="shared" si="8"/>
        <v>#REF!</v>
      </c>
    </row>
    <row r="29" spans="4:14" x14ac:dyDescent="0.3">
      <c r="D29" s="3" t="s">
        <v>12</v>
      </c>
      <c r="E29" s="12" t="e">
        <f>#REF!</f>
        <v>#REF!</v>
      </c>
      <c r="F29" s="12" t="e">
        <f>F25+F27</f>
        <v>#REF!</v>
      </c>
      <c r="G29" s="12" t="e">
        <f t="shared" ref="G29:L29" si="9">G25+G27</f>
        <v>#REF!</v>
      </c>
      <c r="H29" s="12" t="e">
        <f t="shared" si="9"/>
        <v>#REF!</v>
      </c>
      <c r="I29" s="12" t="e">
        <f t="shared" si="9"/>
        <v>#REF!</v>
      </c>
      <c r="J29" s="12" t="e">
        <f t="shared" si="9"/>
        <v>#REF!</v>
      </c>
      <c r="K29" s="12" t="e">
        <f t="shared" si="9"/>
        <v>#REF!</v>
      </c>
      <c r="L29" s="12" t="e">
        <f t="shared" si="9"/>
        <v>#REF!</v>
      </c>
    </row>
    <row r="30" spans="4:14" x14ac:dyDescent="0.3">
      <c r="D30" s="23" t="s">
        <v>59</v>
      </c>
      <c r="E30" s="26" t="e">
        <f>#REF!</f>
        <v>#REF!</v>
      </c>
      <c r="F30" s="26" t="e">
        <f t="shared" ref="F30:L30" si="10">(-F$5*F$25)*0.5</f>
        <v>#REF!</v>
      </c>
      <c r="G30" s="26" t="e">
        <f t="shared" si="10"/>
        <v>#REF!</v>
      </c>
      <c r="H30" s="26" t="e">
        <f t="shared" si="10"/>
        <v>#REF!</v>
      </c>
      <c r="I30" s="26" t="e">
        <f t="shared" si="10"/>
        <v>#REF!</v>
      </c>
      <c r="J30" s="26" t="e">
        <f t="shared" si="10"/>
        <v>#REF!</v>
      </c>
      <c r="K30" s="26" t="e">
        <f t="shared" si="10"/>
        <v>#REF!</v>
      </c>
      <c r="L30" s="26" t="e">
        <f t="shared" si="10"/>
        <v>#REF!</v>
      </c>
    </row>
    <row r="31" spans="4:14" x14ac:dyDescent="0.3">
      <c r="D31" s="23" t="s">
        <v>57</v>
      </c>
      <c r="E31" s="26" t="e">
        <f>#REF!</f>
        <v>#REF!</v>
      </c>
      <c r="F31" s="26" t="e">
        <f>(-F$5*F$25)*1/3</f>
        <v>#REF!</v>
      </c>
      <c r="G31" s="26" t="e">
        <f t="shared" ref="G31:L31" si="11">(-G$5*G$25)*1/3</f>
        <v>#REF!</v>
      </c>
      <c r="H31" s="26" t="e">
        <f t="shared" si="11"/>
        <v>#REF!</v>
      </c>
      <c r="I31" s="26" t="e">
        <f t="shared" si="11"/>
        <v>#REF!</v>
      </c>
      <c r="J31" s="26" t="e">
        <f t="shared" si="11"/>
        <v>#REF!</v>
      </c>
      <c r="K31" s="26" t="e">
        <f t="shared" si="11"/>
        <v>#REF!</v>
      </c>
      <c r="L31" s="26" t="e">
        <f t="shared" si="11"/>
        <v>#REF!</v>
      </c>
    </row>
    <row r="32" spans="4:14" x14ac:dyDescent="0.3">
      <c r="D32" s="5" t="s">
        <v>56</v>
      </c>
      <c r="E32" s="16" t="e">
        <f>#REF!</f>
        <v>#REF!</v>
      </c>
      <c r="F32" s="16" t="e">
        <f>(-F$5*F$25)*1/6</f>
        <v>#REF!</v>
      </c>
      <c r="G32" s="16" t="e">
        <f t="shared" ref="G32:L32" si="12">(-G$5*G$25)*1/6</f>
        <v>#REF!</v>
      </c>
      <c r="H32" s="16" t="e">
        <f t="shared" si="12"/>
        <v>#REF!</v>
      </c>
      <c r="I32" s="16" t="e">
        <f t="shared" si="12"/>
        <v>#REF!</v>
      </c>
      <c r="J32" s="16" t="e">
        <f t="shared" si="12"/>
        <v>#REF!</v>
      </c>
      <c r="K32" s="16" t="e">
        <f t="shared" si="12"/>
        <v>#REF!</v>
      </c>
      <c r="L32" s="16" t="e">
        <f t="shared" si="12"/>
        <v>#REF!</v>
      </c>
    </row>
    <row r="33" spans="4:21" x14ac:dyDescent="0.3">
      <c r="D33" s="30" t="s">
        <v>14</v>
      </c>
      <c r="E33" s="31" t="e">
        <f>#REF!</f>
        <v>#REF!</v>
      </c>
      <c r="F33" s="31" t="e">
        <f>F29+SUM(F30:F32)</f>
        <v>#REF!</v>
      </c>
      <c r="G33" s="31" t="e">
        <f t="shared" ref="G33:L33" si="13">G29+SUM(G30:G32)</f>
        <v>#REF!</v>
      </c>
      <c r="H33" s="31" t="e">
        <f t="shared" si="13"/>
        <v>#REF!</v>
      </c>
      <c r="I33" s="31" t="e">
        <f t="shared" si="13"/>
        <v>#REF!</v>
      </c>
      <c r="J33" s="31" t="e">
        <f t="shared" si="13"/>
        <v>#REF!</v>
      </c>
      <c r="K33" s="31" t="e">
        <f t="shared" si="13"/>
        <v>#REF!</v>
      </c>
      <c r="L33" s="31" t="e">
        <f t="shared" si="13"/>
        <v>#REF!</v>
      </c>
      <c r="O33" s="64"/>
      <c r="P33" s="64"/>
      <c r="Q33" s="64"/>
      <c r="R33" s="64"/>
      <c r="S33" s="64"/>
      <c r="T33" s="64"/>
    </row>
    <row r="34" spans="4:21" x14ac:dyDescent="0.3">
      <c r="D34" s="32" t="s">
        <v>15</v>
      </c>
      <c r="E34" s="33" t="e">
        <f>#REF!</f>
        <v>#REF!</v>
      </c>
      <c r="F34" s="33" t="e">
        <f t="shared" ref="F34:L34" si="14">F33/F25</f>
        <v>#REF!</v>
      </c>
      <c r="G34" s="33" t="e">
        <f t="shared" si="14"/>
        <v>#REF!</v>
      </c>
      <c r="H34" s="33" t="e">
        <f t="shared" si="14"/>
        <v>#REF!</v>
      </c>
      <c r="I34" s="33" t="e">
        <f t="shared" si="14"/>
        <v>#REF!</v>
      </c>
      <c r="J34" s="33" t="e">
        <f t="shared" si="14"/>
        <v>#REF!</v>
      </c>
      <c r="K34" s="33" t="e">
        <f t="shared" si="14"/>
        <v>#REF!</v>
      </c>
      <c r="L34" s="33" t="e">
        <f t="shared" si="14"/>
        <v>#REF!</v>
      </c>
      <c r="O34" s="70"/>
      <c r="P34" s="54"/>
      <c r="Q34" s="54"/>
      <c r="R34" s="54"/>
      <c r="S34" s="54"/>
      <c r="T34" s="54"/>
    </row>
    <row r="35" spans="4:21" x14ac:dyDescent="0.3">
      <c r="D35" s="5" t="s">
        <v>42</v>
      </c>
      <c r="E35" s="16" t="e">
        <f>#REF!</f>
        <v>#REF!</v>
      </c>
      <c r="F35" s="16" t="e">
        <f>-F61/1.1</f>
        <v>#REF!</v>
      </c>
      <c r="G35" s="16" t="e">
        <f t="shared" ref="G35:L35" si="15">-G61/1.1</f>
        <v>#REF!</v>
      </c>
      <c r="H35" s="16" t="e">
        <f t="shared" si="15"/>
        <v>#REF!</v>
      </c>
      <c r="I35" s="16" t="e">
        <f t="shared" si="15"/>
        <v>#REF!</v>
      </c>
      <c r="J35" s="16" t="e">
        <f t="shared" si="15"/>
        <v>#REF!</v>
      </c>
      <c r="K35" s="16" t="e">
        <f t="shared" si="15"/>
        <v>#REF!</v>
      </c>
      <c r="L35" s="16" t="e">
        <f t="shared" si="15"/>
        <v>#REF!</v>
      </c>
      <c r="O35" s="91"/>
      <c r="P35" s="91"/>
      <c r="Q35" s="91"/>
      <c r="R35" s="91"/>
      <c r="S35" s="91"/>
      <c r="T35" s="91"/>
      <c r="U35" s="91"/>
    </row>
    <row r="36" spans="4:21" x14ac:dyDescent="0.3">
      <c r="D36" s="34" t="s">
        <v>13</v>
      </c>
      <c r="E36" s="35" t="e">
        <f>#REF!</f>
        <v>#REF!</v>
      </c>
      <c r="F36" s="35" t="e">
        <f>F33+F35</f>
        <v>#REF!</v>
      </c>
      <c r="G36" s="35" t="e">
        <f t="shared" ref="G36:L36" si="16">G33+G35</f>
        <v>#REF!</v>
      </c>
      <c r="H36" s="35" t="e">
        <f t="shared" si="16"/>
        <v>#REF!</v>
      </c>
      <c r="I36" s="35" t="e">
        <f t="shared" si="16"/>
        <v>#REF!</v>
      </c>
      <c r="J36" s="35" t="e">
        <f t="shared" si="16"/>
        <v>#REF!</v>
      </c>
      <c r="K36" s="35" t="e">
        <f t="shared" si="16"/>
        <v>#REF!</v>
      </c>
      <c r="L36" s="35" t="e">
        <f t="shared" si="16"/>
        <v>#REF!</v>
      </c>
    </row>
    <row r="37" spans="4:21" x14ac:dyDescent="0.3">
      <c r="D37" s="32" t="s">
        <v>16</v>
      </c>
      <c r="E37" s="33" t="e">
        <f>#REF!</f>
        <v>#REF!</v>
      </c>
      <c r="F37" s="33" t="e">
        <f t="shared" ref="F37:L37" si="17">F36/F25</f>
        <v>#REF!</v>
      </c>
      <c r="G37" s="33" t="e">
        <f t="shared" si="17"/>
        <v>#REF!</v>
      </c>
      <c r="H37" s="33" t="e">
        <f t="shared" si="17"/>
        <v>#REF!</v>
      </c>
      <c r="I37" s="33" t="e">
        <f t="shared" si="17"/>
        <v>#REF!</v>
      </c>
      <c r="J37" s="33" t="e">
        <f t="shared" si="17"/>
        <v>#REF!</v>
      </c>
      <c r="K37" s="33" t="e">
        <f t="shared" si="17"/>
        <v>#REF!</v>
      </c>
      <c r="L37" s="33" t="e">
        <f t="shared" si="17"/>
        <v>#REF!</v>
      </c>
    </row>
    <row r="38" spans="4:21" x14ac:dyDescent="0.3">
      <c r="D38" s="6" t="s">
        <v>41</v>
      </c>
      <c r="E38" s="18" t="e">
        <f>#REF!</f>
        <v>#REF!</v>
      </c>
      <c r="F38" s="18" t="e">
        <f t="shared" ref="F38:L38" si="18">-F36*F8</f>
        <v>#REF!</v>
      </c>
      <c r="G38" s="18" t="e">
        <f t="shared" si="18"/>
        <v>#REF!</v>
      </c>
      <c r="H38" s="18" t="e">
        <f t="shared" si="18"/>
        <v>#REF!</v>
      </c>
      <c r="I38" s="18" t="e">
        <f t="shared" si="18"/>
        <v>#REF!</v>
      </c>
      <c r="J38" s="18" t="e">
        <f t="shared" si="18"/>
        <v>#REF!</v>
      </c>
      <c r="K38" s="18" t="e">
        <f t="shared" si="18"/>
        <v>#REF!</v>
      </c>
      <c r="L38" s="18" t="e">
        <f t="shared" si="18"/>
        <v>#REF!</v>
      </c>
    </row>
    <row r="39" spans="4:21" ht="16.8" thickBot="1" x14ac:dyDescent="0.4">
      <c r="D39" s="36" t="s">
        <v>17</v>
      </c>
      <c r="E39" s="37" t="e">
        <f>#REF!</f>
        <v>#REF!</v>
      </c>
      <c r="F39" s="37" t="e">
        <f t="shared" ref="F39:K39" si="19">(F36+F38)/F25</f>
        <v>#REF!</v>
      </c>
      <c r="G39" s="37" t="e">
        <f t="shared" si="19"/>
        <v>#REF!</v>
      </c>
      <c r="H39" s="37" t="e">
        <f t="shared" si="19"/>
        <v>#REF!</v>
      </c>
      <c r="I39" s="37" t="e">
        <f t="shared" si="19"/>
        <v>#REF!</v>
      </c>
      <c r="J39" s="37" t="e">
        <f t="shared" si="19"/>
        <v>#REF!</v>
      </c>
      <c r="K39" s="37" t="e">
        <f t="shared" si="19"/>
        <v>#REF!</v>
      </c>
      <c r="L39" s="37" t="e">
        <f>(L36+L38)/L25</f>
        <v>#REF!</v>
      </c>
    </row>
    <row r="40" spans="4:21" ht="16.2" x14ac:dyDescent="0.35">
      <c r="D40" s="8"/>
      <c r="E40" s="25"/>
      <c r="F40" s="25"/>
      <c r="G40" s="25"/>
      <c r="H40" s="25"/>
      <c r="I40" s="25"/>
      <c r="J40" s="25"/>
      <c r="K40" s="25"/>
      <c r="L40" s="25"/>
    </row>
    <row r="41" spans="4:21" ht="16.8" thickBot="1" x14ac:dyDescent="0.4">
      <c r="D41" s="4" t="s">
        <v>27</v>
      </c>
      <c r="E41" s="24"/>
      <c r="F41" s="24"/>
      <c r="G41" s="24"/>
      <c r="H41" s="24"/>
      <c r="I41" s="24"/>
      <c r="J41" s="24"/>
      <c r="K41" s="24"/>
      <c r="L41" s="24"/>
      <c r="O41" s="8"/>
      <c r="P41" s="23"/>
    </row>
    <row r="42" spans="4:21" ht="4.95" customHeight="1" x14ac:dyDescent="0.35">
      <c r="D42" s="8"/>
      <c r="E42" s="25"/>
      <c r="F42" s="25"/>
      <c r="G42" s="25"/>
      <c r="H42" s="25"/>
      <c r="I42" s="25"/>
      <c r="J42" s="25"/>
      <c r="K42" s="25"/>
      <c r="L42" s="25"/>
      <c r="O42" s="23"/>
      <c r="P42" s="23"/>
    </row>
    <row r="43" spans="4:21" ht="16.05" customHeight="1" x14ac:dyDescent="0.3">
      <c r="D43" s="23" t="s">
        <v>30</v>
      </c>
      <c r="E43" s="71">
        <v>80</v>
      </c>
      <c r="F43" s="26" t="e">
        <f t="shared" ref="F43:L43" si="20">E43+F47+F35</f>
        <v>#REF!</v>
      </c>
      <c r="G43" s="26" t="e">
        <f t="shared" si="20"/>
        <v>#REF!</v>
      </c>
      <c r="H43" s="26" t="e">
        <f t="shared" si="20"/>
        <v>#REF!</v>
      </c>
      <c r="I43" s="26" t="e">
        <f t="shared" si="20"/>
        <v>#REF!</v>
      </c>
      <c r="J43" s="26" t="e">
        <f t="shared" si="20"/>
        <v>#REF!</v>
      </c>
      <c r="K43" s="26" t="e">
        <f t="shared" si="20"/>
        <v>#REF!</v>
      </c>
      <c r="L43" s="26" t="e">
        <f t="shared" si="20"/>
        <v>#REF!</v>
      </c>
      <c r="O43" s="98"/>
      <c r="P43" s="99"/>
    </row>
    <row r="44" spans="4:21" x14ac:dyDescent="0.3">
      <c r="D44" s="23" t="s">
        <v>28</v>
      </c>
      <c r="E44" s="14" t="e">
        <f>#REF!</f>
        <v>#REF!</v>
      </c>
      <c r="F44" s="14" t="e">
        <f t="shared" ref="F44:L44" si="21">F25*F9</f>
        <v>#REF!</v>
      </c>
      <c r="G44" s="14" t="e">
        <f t="shared" si="21"/>
        <v>#REF!</v>
      </c>
      <c r="H44" s="14" t="e">
        <f t="shared" si="21"/>
        <v>#REF!</v>
      </c>
      <c r="I44" s="14" t="e">
        <f t="shared" si="21"/>
        <v>#REF!</v>
      </c>
      <c r="J44" s="14" t="e">
        <f t="shared" si="21"/>
        <v>#REF!</v>
      </c>
      <c r="K44" s="14" t="e">
        <f t="shared" si="21"/>
        <v>#REF!</v>
      </c>
      <c r="L44" s="14" t="e">
        <f t="shared" si="21"/>
        <v>#REF!</v>
      </c>
      <c r="O44" s="98"/>
      <c r="P44" s="99"/>
    </row>
    <row r="45" spans="4:21" x14ac:dyDescent="0.3">
      <c r="D45" s="34" t="s">
        <v>60</v>
      </c>
      <c r="E45" s="38" t="e">
        <f>#REF!</f>
        <v>#REF!</v>
      </c>
      <c r="F45" s="38" t="e">
        <f t="shared" ref="F45:K45" si="22">F44+F43</f>
        <v>#REF!</v>
      </c>
      <c r="G45" s="38" t="e">
        <f t="shared" si="22"/>
        <v>#REF!</v>
      </c>
      <c r="H45" s="38" t="e">
        <f t="shared" si="22"/>
        <v>#REF!</v>
      </c>
      <c r="I45" s="38" t="e">
        <f t="shared" si="22"/>
        <v>#REF!</v>
      </c>
      <c r="J45" s="38" t="e">
        <f t="shared" si="22"/>
        <v>#REF!</v>
      </c>
      <c r="K45" s="38" t="e">
        <f t="shared" si="22"/>
        <v>#REF!</v>
      </c>
      <c r="L45" s="38" t="e">
        <f>L44+L43</f>
        <v>#REF!</v>
      </c>
      <c r="O45" s="98"/>
      <c r="P45" s="99"/>
    </row>
    <row r="46" spans="4:21" x14ac:dyDescent="0.3">
      <c r="D46" s="23" t="s">
        <v>29</v>
      </c>
      <c r="E46" s="14" t="e">
        <f>#REF!</f>
        <v>#REF!</v>
      </c>
      <c r="F46" s="14" t="e">
        <f t="shared" ref="F46:L46" si="23">F44-E44</f>
        <v>#REF!</v>
      </c>
      <c r="G46" s="14" t="e">
        <f t="shared" si="23"/>
        <v>#REF!</v>
      </c>
      <c r="H46" s="14" t="e">
        <f t="shared" si="23"/>
        <v>#REF!</v>
      </c>
      <c r="I46" s="14" t="e">
        <f t="shared" si="23"/>
        <v>#REF!</v>
      </c>
      <c r="J46" s="14" t="e">
        <f t="shared" si="23"/>
        <v>#REF!</v>
      </c>
      <c r="K46" s="14" t="e">
        <f t="shared" si="23"/>
        <v>#REF!</v>
      </c>
      <c r="L46" s="14" t="e">
        <f t="shared" si="23"/>
        <v>#REF!</v>
      </c>
      <c r="O46" s="98"/>
      <c r="P46" s="99"/>
    </row>
    <row r="47" spans="4:21" x14ac:dyDescent="0.3">
      <c r="D47" s="28" t="s">
        <v>31</v>
      </c>
      <c r="E47" s="16" t="e">
        <f>E61</f>
        <v>#REF!</v>
      </c>
      <c r="F47" s="16" t="e">
        <f t="shared" ref="F47:L47" si="24">F61</f>
        <v>#REF!</v>
      </c>
      <c r="G47" s="16" t="e">
        <f t="shared" si="24"/>
        <v>#REF!</v>
      </c>
      <c r="H47" s="16" t="e">
        <f t="shared" si="24"/>
        <v>#REF!</v>
      </c>
      <c r="I47" s="16" t="e">
        <f t="shared" si="24"/>
        <v>#REF!</v>
      </c>
      <c r="J47" s="16" t="e">
        <f t="shared" si="24"/>
        <v>#REF!</v>
      </c>
      <c r="K47" s="16" t="e">
        <f t="shared" si="24"/>
        <v>#REF!</v>
      </c>
      <c r="L47" s="16" t="e">
        <f t="shared" si="24"/>
        <v>#REF!</v>
      </c>
      <c r="M47" s="65"/>
      <c r="O47" s="98"/>
      <c r="P47" s="100"/>
    </row>
    <row r="48" spans="4:21" x14ac:dyDescent="0.3">
      <c r="D48" s="39" t="s">
        <v>33</v>
      </c>
      <c r="E48" s="40" t="e">
        <f>#REF!</f>
        <v>#REF!</v>
      </c>
      <c r="F48" s="40" t="e">
        <f t="shared" ref="F48:L48" si="25">F25/F45</f>
        <v>#REF!</v>
      </c>
      <c r="G48" s="40" t="e">
        <f t="shared" si="25"/>
        <v>#REF!</v>
      </c>
      <c r="H48" s="40" t="e">
        <f t="shared" si="25"/>
        <v>#REF!</v>
      </c>
      <c r="I48" s="40" t="e">
        <f t="shared" si="25"/>
        <v>#REF!</v>
      </c>
      <c r="J48" s="40" t="e">
        <f t="shared" si="25"/>
        <v>#REF!</v>
      </c>
      <c r="K48" s="40" t="e">
        <f t="shared" si="25"/>
        <v>#REF!</v>
      </c>
      <c r="L48" s="40" t="e">
        <f t="shared" si="25"/>
        <v>#REF!</v>
      </c>
      <c r="O48" s="23"/>
      <c r="P48" s="23"/>
    </row>
    <row r="49" spans="1:16" ht="4.95" customHeight="1" x14ac:dyDescent="0.3">
      <c r="D49" s="8"/>
      <c r="E49" s="29"/>
      <c r="F49" s="29"/>
      <c r="G49" s="8"/>
      <c r="H49" s="8"/>
      <c r="I49" s="8"/>
      <c r="J49" s="8"/>
      <c r="K49" s="8"/>
      <c r="L49" s="8"/>
      <c r="O49" s="23"/>
      <c r="P49" s="23"/>
    </row>
    <row r="50" spans="1:16" ht="16.2" thickBot="1" x14ac:dyDescent="0.35">
      <c r="D50" s="41" t="s">
        <v>26</v>
      </c>
      <c r="E50" s="42" t="e">
        <f>#REF!</f>
        <v>#REF!</v>
      </c>
      <c r="F50" s="42" t="e">
        <f t="shared" ref="F50:K50" si="26">F39*F48</f>
        <v>#REF!</v>
      </c>
      <c r="G50" s="42" t="e">
        <f t="shared" si="26"/>
        <v>#REF!</v>
      </c>
      <c r="H50" s="42" t="e">
        <f t="shared" si="26"/>
        <v>#REF!</v>
      </c>
      <c r="I50" s="42" t="e">
        <f t="shared" si="26"/>
        <v>#REF!</v>
      </c>
      <c r="J50" s="42" t="e">
        <f t="shared" si="26"/>
        <v>#REF!</v>
      </c>
      <c r="K50" s="42" t="e">
        <f t="shared" si="26"/>
        <v>#REF!</v>
      </c>
      <c r="L50" s="42" t="e">
        <f>L39*L48</f>
        <v>#REF!</v>
      </c>
    </row>
    <row r="51" spans="1:16" x14ac:dyDescent="0.3">
      <c r="E51" s="27"/>
      <c r="F51" s="27"/>
    </row>
    <row r="53" spans="1:16" s="21" customFormat="1" x14ac:dyDescent="0.3">
      <c r="A53" s="1"/>
      <c r="B53" s="19">
        <f>MAX($B$1:$B52)+1</f>
        <v>2</v>
      </c>
      <c r="C53" s="1"/>
      <c r="D53" s="20" t="s">
        <v>117</v>
      </c>
    </row>
    <row r="55" spans="1:16" x14ac:dyDescent="0.3">
      <c r="D55" s="3" t="s">
        <v>7</v>
      </c>
      <c r="E55" s="3"/>
      <c r="F55" s="3"/>
    </row>
    <row r="56" spans="1:16" ht="16.2" thickBot="1" x14ac:dyDescent="0.35">
      <c r="D56" s="4" t="s">
        <v>101</v>
      </c>
      <c r="E56" s="4">
        <v>2019</v>
      </c>
      <c r="F56" s="4">
        <v>2020</v>
      </c>
      <c r="G56" s="9" t="s">
        <v>2</v>
      </c>
      <c r="H56" s="9" t="s">
        <v>3</v>
      </c>
      <c r="I56" s="9" t="s">
        <v>4</v>
      </c>
      <c r="J56" s="9" t="s">
        <v>5</v>
      </c>
      <c r="K56" s="9" t="s">
        <v>24</v>
      </c>
      <c r="L56" s="9" t="s">
        <v>25</v>
      </c>
    </row>
    <row r="57" spans="1:16" ht="4.95" customHeight="1" x14ac:dyDescent="0.3">
      <c r="G57" s="10"/>
      <c r="H57" s="10"/>
      <c r="I57" s="10"/>
      <c r="J57" s="10"/>
      <c r="K57" s="10"/>
      <c r="L57" s="10"/>
    </row>
    <row r="58" spans="1:16" x14ac:dyDescent="0.3">
      <c r="D58" s="1" t="s">
        <v>145</v>
      </c>
      <c r="E58" s="14" t="e">
        <f>E25*E10/2</f>
        <v>#REF!</v>
      </c>
      <c r="F58" s="14" t="e">
        <f t="shared" ref="F58:L58" si="27">F25*F10/2</f>
        <v>#REF!</v>
      </c>
      <c r="G58" s="14" t="e">
        <f t="shared" si="27"/>
        <v>#REF!</v>
      </c>
      <c r="H58" s="14" t="e">
        <f t="shared" si="27"/>
        <v>#REF!</v>
      </c>
      <c r="I58" s="14" t="e">
        <f t="shared" si="27"/>
        <v>#REF!</v>
      </c>
      <c r="J58" s="14" t="e">
        <f t="shared" si="27"/>
        <v>#REF!</v>
      </c>
      <c r="K58" s="14" t="e">
        <f t="shared" si="27"/>
        <v>#REF!</v>
      </c>
      <c r="L58" s="14" t="e">
        <f t="shared" si="27"/>
        <v>#REF!</v>
      </c>
    </row>
    <row r="59" spans="1:16" x14ac:dyDescent="0.3">
      <c r="D59" s="1" t="s">
        <v>144</v>
      </c>
      <c r="E59" s="14" t="e">
        <f>E58</f>
        <v>#REF!</v>
      </c>
      <c r="F59" s="14" t="e">
        <f t="shared" ref="F59:L59" si="28">F58</f>
        <v>#REF!</v>
      </c>
      <c r="G59" s="14" t="e">
        <f t="shared" si="28"/>
        <v>#REF!</v>
      </c>
      <c r="H59" s="14" t="e">
        <f t="shared" si="28"/>
        <v>#REF!</v>
      </c>
      <c r="I59" s="14" t="e">
        <f t="shared" si="28"/>
        <v>#REF!</v>
      </c>
      <c r="J59" s="14" t="e">
        <f t="shared" si="28"/>
        <v>#REF!</v>
      </c>
      <c r="K59" s="14" t="e">
        <f t="shared" si="28"/>
        <v>#REF!</v>
      </c>
      <c r="L59" s="14" t="e">
        <f t="shared" si="28"/>
        <v>#REF!</v>
      </c>
    </row>
    <row r="60" spans="1:16" ht="4.95" customHeight="1" x14ac:dyDescent="0.3">
      <c r="E60" s="14"/>
      <c r="F60" s="14"/>
      <c r="G60" s="14"/>
      <c r="H60" s="14"/>
      <c r="I60" s="14"/>
      <c r="J60" s="14"/>
      <c r="K60" s="14"/>
      <c r="L60" s="14"/>
    </row>
    <row r="61" spans="1:16" ht="16.2" thickBot="1" x14ac:dyDescent="0.35">
      <c r="D61" s="36" t="s">
        <v>114</v>
      </c>
      <c r="E61" s="44" t="e">
        <f>SUM(E58:E59)</f>
        <v>#REF!</v>
      </c>
      <c r="F61" s="44" t="e">
        <f>SUM(F58:F59)</f>
        <v>#REF!</v>
      </c>
      <c r="G61" s="44" t="e">
        <f t="shared" ref="G61:L61" si="29">SUM(G58:G59)</f>
        <v>#REF!</v>
      </c>
      <c r="H61" s="44" t="e">
        <f t="shared" si="29"/>
        <v>#REF!</v>
      </c>
      <c r="I61" s="44" t="e">
        <f t="shared" si="29"/>
        <v>#REF!</v>
      </c>
      <c r="J61" s="44" t="e">
        <f>SUM(J58:J59)</f>
        <v>#REF!</v>
      </c>
      <c r="K61" s="44" t="e">
        <f t="shared" si="29"/>
        <v>#REF!</v>
      </c>
      <c r="L61" s="44" t="e">
        <f t="shared" si="29"/>
        <v>#REF!</v>
      </c>
      <c r="M61" s="64"/>
    </row>
    <row r="62" spans="1:16" x14ac:dyDescent="0.3">
      <c r="D62" s="75"/>
      <c r="E62" s="76"/>
      <c r="F62" s="76"/>
      <c r="G62" s="76"/>
      <c r="H62" s="76"/>
      <c r="I62" s="76"/>
      <c r="J62" s="76"/>
      <c r="K62" s="76"/>
      <c r="L62" s="76"/>
      <c r="M62" s="14"/>
    </row>
    <row r="63" spans="1:16" x14ac:dyDescent="0.3">
      <c r="D63" s="75"/>
      <c r="E63" s="76"/>
      <c r="F63" s="76"/>
      <c r="G63" s="76"/>
      <c r="H63" s="76"/>
      <c r="I63" s="76"/>
      <c r="J63" s="76"/>
      <c r="K63" s="76"/>
      <c r="L63" s="76"/>
      <c r="M63" s="14"/>
    </row>
    <row r="64" spans="1:16" s="21" customFormat="1" x14ac:dyDescent="0.3">
      <c r="A64" s="1"/>
      <c r="B64" s="19">
        <f>MAX($B$1:$B61)+1</f>
        <v>3</v>
      </c>
      <c r="C64" s="1"/>
      <c r="D64" s="20" t="s">
        <v>1</v>
      </c>
    </row>
    <row r="66" spans="4:21" x14ac:dyDescent="0.3">
      <c r="D66" s="3" t="s">
        <v>7</v>
      </c>
      <c r="E66" s="3"/>
      <c r="F66" s="3"/>
    </row>
    <row r="67" spans="4:21" ht="16.2" thickBot="1" x14ac:dyDescent="0.35">
      <c r="D67" s="4" t="s">
        <v>54</v>
      </c>
      <c r="E67" s="4" t="e">
        <f>#REF!</f>
        <v>#REF!</v>
      </c>
      <c r="F67" s="4">
        <v>2020</v>
      </c>
      <c r="G67" s="9" t="s">
        <v>2</v>
      </c>
      <c r="H67" s="9" t="s">
        <v>3</v>
      </c>
      <c r="I67" s="9" t="s">
        <v>4</v>
      </c>
      <c r="J67" s="9" t="s">
        <v>5</v>
      </c>
      <c r="K67" s="9" t="s">
        <v>24</v>
      </c>
      <c r="L67" s="9" t="s">
        <v>25</v>
      </c>
    </row>
    <row r="68" spans="4:21" ht="4.95" customHeight="1" x14ac:dyDescent="0.3">
      <c r="G68" s="10"/>
      <c r="H68" s="10"/>
      <c r="I68" s="10"/>
      <c r="J68" s="10"/>
      <c r="K68" s="10"/>
      <c r="L68" s="10"/>
    </row>
    <row r="69" spans="4:21" x14ac:dyDescent="0.3">
      <c r="D69" s="1" t="s">
        <v>14</v>
      </c>
      <c r="E69" s="14" t="e">
        <f>#REF!</f>
        <v>#REF!</v>
      </c>
      <c r="F69" s="14" t="e">
        <f t="shared" ref="F69:L69" si="30">F33</f>
        <v>#REF!</v>
      </c>
      <c r="G69" s="14" t="e">
        <f t="shared" si="30"/>
        <v>#REF!</v>
      </c>
      <c r="H69" s="14" t="e">
        <f t="shared" si="30"/>
        <v>#REF!</v>
      </c>
      <c r="I69" s="14" t="e">
        <f t="shared" si="30"/>
        <v>#REF!</v>
      </c>
      <c r="J69" s="14" t="e">
        <f t="shared" si="30"/>
        <v>#REF!</v>
      </c>
      <c r="K69" s="14" t="e">
        <f t="shared" si="30"/>
        <v>#REF!</v>
      </c>
      <c r="L69" s="14" t="e">
        <f t="shared" si="30"/>
        <v>#REF!</v>
      </c>
    </row>
    <row r="70" spans="4:21" x14ac:dyDescent="0.3">
      <c r="D70" s="1" t="s">
        <v>38</v>
      </c>
      <c r="E70" s="14" t="e">
        <f>E130</f>
        <v>#REF!</v>
      </c>
      <c r="F70" s="14" t="e">
        <f t="shared" ref="F70:L70" si="31">F130</f>
        <v>#REF!</v>
      </c>
      <c r="G70" s="14" t="e">
        <f t="shared" si="31"/>
        <v>#REF!</v>
      </c>
      <c r="H70" s="14" t="e">
        <f t="shared" si="31"/>
        <v>#REF!</v>
      </c>
      <c r="I70" s="14" t="e">
        <f t="shared" si="31"/>
        <v>#REF!</v>
      </c>
      <c r="J70" s="14" t="e">
        <f t="shared" si="31"/>
        <v>#REF!</v>
      </c>
      <c r="K70" s="14" t="e">
        <f t="shared" si="31"/>
        <v>#REF!</v>
      </c>
      <c r="L70" s="14" t="e">
        <f t="shared" si="31"/>
        <v>#REF!</v>
      </c>
    </row>
    <row r="71" spans="4:21" x14ac:dyDescent="0.3">
      <c r="D71" s="1" t="s">
        <v>31</v>
      </c>
      <c r="E71" s="14" t="e">
        <f>#REF!</f>
        <v>#REF!</v>
      </c>
      <c r="F71" s="14" t="e">
        <f t="shared" ref="F71:L71" si="32">-F47</f>
        <v>#REF!</v>
      </c>
      <c r="G71" s="14" t="e">
        <f t="shared" si="32"/>
        <v>#REF!</v>
      </c>
      <c r="H71" s="14" t="e">
        <f t="shared" si="32"/>
        <v>#REF!</v>
      </c>
      <c r="I71" s="14" t="e">
        <f t="shared" si="32"/>
        <v>#REF!</v>
      </c>
      <c r="J71" s="14" t="e">
        <f t="shared" si="32"/>
        <v>#REF!</v>
      </c>
      <c r="K71" s="14" t="e">
        <f t="shared" si="32"/>
        <v>#REF!</v>
      </c>
      <c r="L71" s="14" t="e">
        <f t="shared" si="32"/>
        <v>#REF!</v>
      </c>
    </row>
    <row r="72" spans="4:21" x14ac:dyDescent="0.3">
      <c r="D72" s="1" t="s">
        <v>29</v>
      </c>
      <c r="E72" s="14" t="e">
        <f>#REF!</f>
        <v>#REF!</v>
      </c>
      <c r="F72" s="14" t="e">
        <f t="shared" ref="F72:L72" si="33">-F46</f>
        <v>#REF!</v>
      </c>
      <c r="G72" s="14" t="e">
        <f t="shared" si="33"/>
        <v>#REF!</v>
      </c>
      <c r="H72" s="14" t="e">
        <f t="shared" si="33"/>
        <v>#REF!</v>
      </c>
      <c r="I72" s="14" t="e">
        <f t="shared" si="33"/>
        <v>#REF!</v>
      </c>
      <c r="J72" s="14" t="e">
        <f t="shared" si="33"/>
        <v>#REF!</v>
      </c>
      <c r="K72" s="14" t="e">
        <f t="shared" si="33"/>
        <v>#REF!</v>
      </c>
      <c r="L72" s="14" t="e">
        <f t="shared" si="33"/>
        <v>#REF!</v>
      </c>
    </row>
    <row r="73" spans="4:21" ht="4.95" customHeight="1" x14ac:dyDescent="0.3">
      <c r="E73" s="14"/>
      <c r="F73" s="14"/>
      <c r="G73" s="14"/>
      <c r="H73" s="14"/>
      <c r="I73" s="14"/>
      <c r="J73" s="14"/>
      <c r="K73" s="14"/>
      <c r="L73" s="14"/>
    </row>
    <row r="74" spans="4:21" ht="16.2" thickBot="1" x14ac:dyDescent="0.35">
      <c r="D74" s="36" t="s">
        <v>58</v>
      </c>
      <c r="E74" s="44" t="e">
        <f>#REF!</f>
        <v>#REF!</v>
      </c>
      <c r="F74" s="44" t="e">
        <f>SUM(F69:F72)</f>
        <v>#REF!</v>
      </c>
      <c r="G74" s="44" t="e">
        <f t="shared" ref="G74:L74" si="34">SUM(G69:G72)</f>
        <v>#REF!</v>
      </c>
      <c r="H74" s="44" t="e">
        <f t="shared" si="34"/>
        <v>#REF!</v>
      </c>
      <c r="I74" s="44" t="e">
        <f t="shared" si="34"/>
        <v>#REF!</v>
      </c>
      <c r="J74" s="44" t="e">
        <f t="shared" si="34"/>
        <v>#REF!</v>
      </c>
      <c r="K74" s="44" t="e">
        <f t="shared" si="34"/>
        <v>#REF!</v>
      </c>
      <c r="L74" s="44" t="e">
        <f t="shared" si="34"/>
        <v>#REF!</v>
      </c>
    </row>
    <row r="75" spans="4:21" ht="4.95" customHeight="1" x14ac:dyDescent="0.3">
      <c r="E75" s="14"/>
      <c r="F75" s="14"/>
      <c r="G75" s="14"/>
      <c r="H75" s="14"/>
      <c r="I75" s="14"/>
      <c r="J75" s="14"/>
      <c r="K75" s="14"/>
      <c r="L75" s="14"/>
    </row>
    <row r="76" spans="4:21" x14ac:dyDescent="0.3">
      <c r="D76" s="1" t="s">
        <v>39</v>
      </c>
      <c r="E76" s="14">
        <f>E112</f>
        <v>-1.1599999999999999</v>
      </c>
      <c r="F76" s="14">
        <f t="shared" ref="F76:L76" si="35">F112</f>
        <v>-1.1599999999999999</v>
      </c>
      <c r="G76" s="14">
        <f t="shared" si="35"/>
        <v>-1.1599999999999999</v>
      </c>
      <c r="H76" s="14">
        <f t="shared" si="35"/>
        <v>-1.1599999999999999</v>
      </c>
      <c r="I76" s="14">
        <f t="shared" si="35"/>
        <v>-1.1599999999999999</v>
      </c>
      <c r="J76" s="14">
        <f t="shared" si="35"/>
        <v>-1.1599999999999999</v>
      </c>
      <c r="K76" s="14">
        <f t="shared" si="35"/>
        <v>0</v>
      </c>
      <c r="L76" s="14">
        <f t="shared" si="35"/>
        <v>0</v>
      </c>
      <c r="O76" s="14"/>
      <c r="P76" s="14"/>
      <c r="Q76" s="14"/>
      <c r="R76" s="14"/>
      <c r="S76" s="14"/>
      <c r="T76" s="14"/>
      <c r="U76" s="14"/>
    </row>
    <row r="77" spans="4:21" x14ac:dyDescent="0.3">
      <c r="D77" s="1" t="s">
        <v>50</v>
      </c>
      <c r="E77" s="14">
        <f>E111</f>
        <v>0</v>
      </c>
      <c r="F77" s="14">
        <f t="shared" ref="F77:L77" si="36">F111</f>
        <v>0</v>
      </c>
      <c r="G77" s="14">
        <f t="shared" si="36"/>
        <v>0</v>
      </c>
      <c r="H77" s="14">
        <f t="shared" si="36"/>
        <v>0</v>
      </c>
      <c r="I77" s="14">
        <f t="shared" si="36"/>
        <v>0</v>
      </c>
      <c r="J77" s="14">
        <f t="shared" si="36"/>
        <v>0</v>
      </c>
      <c r="K77" s="14">
        <f t="shared" si="36"/>
        <v>0</v>
      </c>
      <c r="L77" s="14">
        <f t="shared" si="36"/>
        <v>0</v>
      </c>
      <c r="N77" s="2"/>
      <c r="O77" s="14"/>
      <c r="P77" s="14"/>
      <c r="Q77" s="14"/>
      <c r="R77" s="14"/>
      <c r="S77" s="14"/>
      <c r="T77" s="14"/>
      <c r="U77" s="14"/>
    </row>
    <row r="78" spans="4:21" x14ac:dyDescent="0.3">
      <c r="D78" s="1" t="s">
        <v>53</v>
      </c>
      <c r="E78" s="14">
        <f>E113</f>
        <v>-9.6666666666666661</v>
      </c>
      <c r="F78" s="14">
        <f t="shared" ref="F78:L78" si="37">F113</f>
        <v>-9.6666666666666661</v>
      </c>
      <c r="G78" s="14">
        <f t="shared" si="37"/>
        <v>-9.6666666666666661</v>
      </c>
      <c r="H78" s="14">
        <f t="shared" si="37"/>
        <v>-9.6666666666666661</v>
      </c>
      <c r="I78" s="14">
        <f t="shared" si="37"/>
        <v>-9.6666666666666661</v>
      </c>
      <c r="J78" s="14">
        <f t="shared" si="37"/>
        <v>-9.6666666666666661</v>
      </c>
      <c r="K78" s="14">
        <f t="shared" si="37"/>
        <v>0</v>
      </c>
      <c r="L78" s="14">
        <f t="shared" si="37"/>
        <v>0</v>
      </c>
      <c r="O78" s="14"/>
      <c r="P78" s="14"/>
      <c r="Q78" s="14"/>
      <c r="R78" s="14"/>
      <c r="S78" s="14"/>
      <c r="T78" s="14"/>
      <c r="U78" s="14"/>
    </row>
    <row r="79" spans="4:21" x14ac:dyDescent="0.3">
      <c r="D79" s="5" t="s">
        <v>40</v>
      </c>
      <c r="E79" s="16" t="e">
        <f>-E89*E131</f>
        <v>#REF!</v>
      </c>
      <c r="F79" s="16" t="e">
        <f t="shared" ref="F79:L79" si="38">-F89*F131</f>
        <v>#REF!</v>
      </c>
      <c r="G79" s="16" t="e">
        <f t="shared" si="38"/>
        <v>#REF!</v>
      </c>
      <c r="H79" s="16" t="e">
        <f t="shared" si="38"/>
        <v>#REF!</v>
      </c>
      <c r="I79" s="16" t="e">
        <f t="shared" si="38"/>
        <v>#REF!</v>
      </c>
      <c r="J79" s="16" t="e">
        <f t="shared" si="38"/>
        <v>#REF!</v>
      </c>
      <c r="K79" s="16" t="e">
        <f t="shared" si="38"/>
        <v>#REF!</v>
      </c>
      <c r="L79" s="16" t="e">
        <f t="shared" si="38"/>
        <v>#REF!</v>
      </c>
      <c r="O79" s="14"/>
      <c r="P79" s="14"/>
      <c r="Q79" s="14"/>
      <c r="R79" s="14"/>
      <c r="S79" s="14"/>
      <c r="T79" s="14"/>
      <c r="U79" s="14"/>
    </row>
    <row r="80" spans="4:21" ht="16.2" thickBot="1" x14ac:dyDescent="0.35">
      <c r="D80" s="36" t="s">
        <v>76</v>
      </c>
      <c r="E80" s="44" t="e">
        <f>#REF!</f>
        <v>#REF!</v>
      </c>
      <c r="F80" s="44" t="e">
        <f>SUM(F74:F79)</f>
        <v>#REF!</v>
      </c>
      <c r="G80" s="44" t="e">
        <f t="shared" ref="G80:L80" si="39">SUM(G74:G79)</f>
        <v>#REF!</v>
      </c>
      <c r="H80" s="44" t="e">
        <f t="shared" si="39"/>
        <v>#REF!</v>
      </c>
      <c r="I80" s="44" t="e">
        <f t="shared" si="39"/>
        <v>#REF!</v>
      </c>
      <c r="J80" s="44" t="e">
        <f t="shared" si="39"/>
        <v>#REF!</v>
      </c>
      <c r="K80" s="44" t="e">
        <f t="shared" si="39"/>
        <v>#REF!</v>
      </c>
      <c r="L80" s="44" t="e">
        <f t="shared" si="39"/>
        <v>#REF!</v>
      </c>
      <c r="O80" s="14"/>
      <c r="P80" s="14"/>
      <c r="Q80" s="14"/>
      <c r="R80" s="14"/>
      <c r="S80" s="14"/>
      <c r="T80" s="14"/>
      <c r="U80" s="14"/>
    </row>
    <row r="81" spans="1:21" x14ac:dyDescent="0.3">
      <c r="E81" s="14"/>
      <c r="F81" s="64"/>
      <c r="G81" s="64"/>
      <c r="H81" s="64"/>
      <c r="I81" s="64"/>
      <c r="J81" s="64"/>
      <c r="K81" s="64"/>
      <c r="L81" s="14"/>
      <c r="O81" s="14"/>
      <c r="P81" s="14"/>
      <c r="Q81" s="14"/>
      <c r="R81" s="14"/>
      <c r="S81" s="14"/>
      <c r="T81" s="14"/>
      <c r="U81" s="14"/>
    </row>
    <row r="82" spans="1:21" x14ac:dyDescent="0.3">
      <c r="O82" s="14"/>
      <c r="P82" s="14"/>
      <c r="Q82" s="14"/>
      <c r="R82" s="14"/>
      <c r="S82" s="14"/>
      <c r="T82" s="14"/>
      <c r="U82" s="14"/>
    </row>
    <row r="83" spans="1:21" ht="16.2" thickBot="1" x14ac:dyDescent="0.35">
      <c r="D83" s="41" t="s">
        <v>34</v>
      </c>
      <c r="E83" s="41">
        <v>2019</v>
      </c>
      <c r="F83" s="41">
        <v>2020</v>
      </c>
      <c r="G83" s="43" t="s">
        <v>2</v>
      </c>
      <c r="H83" s="43" t="s">
        <v>3</v>
      </c>
      <c r="I83" s="43" t="s">
        <v>4</v>
      </c>
      <c r="J83" s="43" t="s">
        <v>5</v>
      </c>
      <c r="K83" s="43" t="s">
        <v>24</v>
      </c>
      <c r="L83" s="43" t="s">
        <v>25</v>
      </c>
    </row>
    <row r="84" spans="1:21" x14ac:dyDescent="0.3">
      <c r="D84" s="55" t="s">
        <v>52</v>
      </c>
      <c r="E84" s="56">
        <f>1/6</f>
        <v>0.16666666666666666</v>
      </c>
      <c r="F84" s="56">
        <f t="shared" ref="F84:L84" si="40">1/6</f>
        <v>0.16666666666666666</v>
      </c>
      <c r="G84" s="56">
        <f t="shared" si="40"/>
        <v>0.16666666666666666</v>
      </c>
      <c r="H84" s="56">
        <f t="shared" si="40"/>
        <v>0.16666666666666666</v>
      </c>
      <c r="I84" s="56">
        <f t="shared" si="40"/>
        <v>0.16666666666666666</v>
      </c>
      <c r="J84" s="56">
        <f t="shared" si="40"/>
        <v>0.16666666666666666</v>
      </c>
      <c r="K84" s="56">
        <f t="shared" si="40"/>
        <v>0.16666666666666666</v>
      </c>
      <c r="L84" s="56">
        <f t="shared" si="40"/>
        <v>0.16666666666666666</v>
      </c>
    </row>
    <row r="85" spans="1:21" x14ac:dyDescent="0.3">
      <c r="D85" s="23" t="s">
        <v>98</v>
      </c>
      <c r="E85" s="47">
        <v>0.02</v>
      </c>
      <c r="F85" s="47">
        <v>0.02</v>
      </c>
      <c r="G85" s="47">
        <v>0.02</v>
      </c>
      <c r="H85" s="47">
        <v>0.02</v>
      </c>
      <c r="I85" s="47">
        <v>0.02</v>
      </c>
      <c r="J85" s="47">
        <v>0.02</v>
      </c>
      <c r="K85" s="47">
        <v>0.02</v>
      </c>
      <c r="L85" s="47">
        <v>0.02</v>
      </c>
    </row>
    <row r="86" spans="1:21" x14ac:dyDescent="0.3">
      <c r="D86" s="23" t="s">
        <v>110</v>
      </c>
      <c r="E86" s="47">
        <v>2.75E-2</v>
      </c>
      <c r="F86" s="47">
        <v>2.75E-2</v>
      </c>
      <c r="G86" s="47">
        <v>2.75E-2</v>
      </c>
      <c r="H86" s="47">
        <v>2.75E-2</v>
      </c>
      <c r="I86" s="47">
        <v>2.75E-2</v>
      </c>
      <c r="J86" s="47">
        <v>2.75E-2</v>
      </c>
      <c r="K86" s="47">
        <v>2.75E-2</v>
      </c>
      <c r="L86" s="47">
        <v>2.75E-2</v>
      </c>
    </row>
    <row r="87" spans="1:21" x14ac:dyDescent="0.3">
      <c r="D87" s="23" t="s">
        <v>112</v>
      </c>
      <c r="E87" s="47">
        <v>0.05</v>
      </c>
      <c r="F87" s="47">
        <v>0.05</v>
      </c>
      <c r="G87" s="47">
        <v>0.05</v>
      </c>
      <c r="H87" s="47">
        <v>0.05</v>
      </c>
      <c r="I87" s="47">
        <v>0.05</v>
      </c>
      <c r="J87" s="47">
        <v>0.05</v>
      </c>
      <c r="K87" s="47">
        <v>0.05</v>
      </c>
      <c r="L87" s="47">
        <v>0.05</v>
      </c>
    </row>
    <row r="88" spans="1:21" x14ac:dyDescent="0.3">
      <c r="D88" s="23" t="s">
        <v>113</v>
      </c>
      <c r="E88" s="47">
        <v>0.05</v>
      </c>
      <c r="F88" s="47">
        <v>0.05</v>
      </c>
      <c r="G88" s="47">
        <v>0.05</v>
      </c>
      <c r="H88" s="47">
        <v>0.05</v>
      </c>
      <c r="I88" s="47">
        <v>0.05</v>
      </c>
      <c r="J88" s="47">
        <v>0.05</v>
      </c>
      <c r="K88" s="47">
        <v>0.05</v>
      </c>
      <c r="L88" s="47">
        <v>0.05</v>
      </c>
    </row>
    <row r="89" spans="1:21" ht="16.2" thickBot="1" x14ac:dyDescent="0.35">
      <c r="D89" s="17" t="s">
        <v>51</v>
      </c>
      <c r="E89" s="58">
        <v>0.35</v>
      </c>
      <c r="F89" s="58">
        <v>0</v>
      </c>
      <c r="G89" s="58">
        <v>0</v>
      </c>
      <c r="H89" s="58">
        <v>0.35</v>
      </c>
      <c r="I89" s="58">
        <v>0.35</v>
      </c>
      <c r="J89" s="58">
        <v>0.35</v>
      </c>
      <c r="K89" s="58">
        <v>0.35</v>
      </c>
      <c r="L89" s="58">
        <v>0.35</v>
      </c>
    </row>
    <row r="92" spans="1:21" s="21" customFormat="1" x14ac:dyDescent="0.3">
      <c r="A92" s="1"/>
      <c r="B92" s="19">
        <f>MAX($B$1:$B91)+1</f>
        <v>4</v>
      </c>
      <c r="C92" s="1"/>
      <c r="D92" s="20" t="s">
        <v>95</v>
      </c>
    </row>
    <row r="94" spans="1:21" x14ac:dyDescent="0.3">
      <c r="D94" s="3" t="s">
        <v>7</v>
      </c>
      <c r="E94" s="3"/>
      <c r="F94" s="3"/>
    </row>
    <row r="95" spans="1:21" ht="16.2" thickBot="1" x14ac:dyDescent="0.35">
      <c r="D95" s="4" t="s">
        <v>88</v>
      </c>
      <c r="E95" s="4">
        <v>2019</v>
      </c>
      <c r="F95" s="4">
        <v>2020</v>
      </c>
      <c r="G95" s="9" t="s">
        <v>2</v>
      </c>
      <c r="H95" s="9" t="s">
        <v>3</v>
      </c>
      <c r="I95" s="9" t="s">
        <v>4</v>
      </c>
      <c r="J95" s="9" t="s">
        <v>5</v>
      </c>
      <c r="K95" s="9" t="s">
        <v>24</v>
      </c>
      <c r="L95" s="9" t="s">
        <v>25</v>
      </c>
    </row>
    <row r="96" spans="1:21" x14ac:dyDescent="0.3">
      <c r="D96" s="1" t="s">
        <v>99</v>
      </c>
      <c r="E96" s="80">
        <v>58</v>
      </c>
      <c r="F96" s="14"/>
      <c r="G96" s="14"/>
      <c r="H96" s="14"/>
      <c r="I96" s="14"/>
      <c r="J96" s="14"/>
      <c r="K96" s="14"/>
      <c r="L96" s="10"/>
      <c r="M96" s="2"/>
      <c r="N96" s="2" t="s">
        <v>94</v>
      </c>
    </row>
    <row r="97" spans="4:17" x14ac:dyDescent="0.3">
      <c r="D97" s="1" t="s">
        <v>89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</row>
    <row r="98" spans="4:17" x14ac:dyDescent="0.3">
      <c r="D98" s="1" t="s">
        <v>91</v>
      </c>
      <c r="E98" s="14">
        <f t="shared" ref="E98:J98" si="41">-$E$96*E85</f>
        <v>-1.1599999999999999</v>
      </c>
      <c r="F98" s="14">
        <f t="shared" si="41"/>
        <v>-1.1599999999999999</v>
      </c>
      <c r="G98" s="14">
        <f t="shared" si="41"/>
        <v>-1.1599999999999999</v>
      </c>
      <c r="H98" s="14">
        <f t="shared" si="41"/>
        <v>-1.1599999999999999</v>
      </c>
      <c r="I98" s="14">
        <f t="shared" si="41"/>
        <v>-1.1599999999999999</v>
      </c>
      <c r="J98" s="14">
        <f t="shared" si="41"/>
        <v>-1.1599999999999999</v>
      </c>
      <c r="K98" s="62">
        <v>0</v>
      </c>
      <c r="L98" s="62">
        <v>0</v>
      </c>
    </row>
    <row r="99" spans="4:17" x14ac:dyDescent="0.3">
      <c r="D99" s="5" t="s">
        <v>90</v>
      </c>
      <c r="E99" s="16">
        <f t="shared" ref="E99:J99" si="42">-$E$96*E84</f>
        <v>-9.6666666666666661</v>
      </c>
      <c r="F99" s="16">
        <f t="shared" si="42"/>
        <v>-9.6666666666666661</v>
      </c>
      <c r="G99" s="16">
        <f t="shared" si="42"/>
        <v>-9.6666666666666661</v>
      </c>
      <c r="H99" s="16">
        <f t="shared" si="42"/>
        <v>-9.6666666666666661</v>
      </c>
      <c r="I99" s="16">
        <f t="shared" si="42"/>
        <v>-9.6666666666666661</v>
      </c>
      <c r="J99" s="16">
        <f t="shared" si="42"/>
        <v>-9.6666666666666661</v>
      </c>
      <c r="K99" s="83">
        <v>0</v>
      </c>
      <c r="L99" s="83">
        <v>0</v>
      </c>
    </row>
    <row r="100" spans="4:17" ht="4.95" customHeight="1" x14ac:dyDescent="0.3">
      <c r="E100" s="14"/>
      <c r="F100" s="14"/>
      <c r="G100" s="14"/>
      <c r="H100" s="14"/>
      <c r="I100" s="14"/>
      <c r="J100" s="14"/>
      <c r="K100" s="14"/>
      <c r="L100" s="14"/>
    </row>
    <row r="101" spans="4:17" ht="16.05" customHeight="1" x14ac:dyDescent="0.3">
      <c r="D101" s="1" t="s">
        <v>100</v>
      </c>
      <c r="E101" s="81">
        <v>0</v>
      </c>
      <c r="F101" s="14"/>
      <c r="G101" s="14"/>
      <c r="H101" s="14"/>
      <c r="I101" s="14"/>
      <c r="J101" s="14"/>
      <c r="K101" s="14"/>
      <c r="L101" s="14"/>
      <c r="N101" s="2" t="s">
        <v>94</v>
      </c>
    </row>
    <row r="102" spans="4:17" ht="16.05" customHeight="1" x14ac:dyDescent="0.3">
      <c r="D102" s="1" t="s">
        <v>89</v>
      </c>
      <c r="E102" s="82">
        <f>E101</f>
        <v>0</v>
      </c>
      <c r="F102" s="62">
        <v>0</v>
      </c>
      <c r="G102" s="62">
        <v>0</v>
      </c>
      <c r="H102" s="62">
        <v>0</v>
      </c>
      <c r="I102" s="62">
        <v>0</v>
      </c>
      <c r="J102" s="62">
        <v>0</v>
      </c>
      <c r="K102" s="62">
        <v>0</v>
      </c>
      <c r="L102" s="62">
        <v>0</v>
      </c>
    </row>
    <row r="103" spans="4:17" ht="16.05" customHeight="1" x14ac:dyDescent="0.3">
      <c r="D103" s="1" t="s">
        <v>91</v>
      </c>
      <c r="E103" s="14">
        <f t="shared" ref="E103:J103" si="43">-$E$101*E86</f>
        <v>0</v>
      </c>
      <c r="F103" s="14">
        <f t="shared" si="43"/>
        <v>0</v>
      </c>
      <c r="G103" s="14">
        <f t="shared" si="43"/>
        <v>0</v>
      </c>
      <c r="H103" s="14">
        <f t="shared" si="43"/>
        <v>0</v>
      </c>
      <c r="I103" s="14">
        <f t="shared" si="43"/>
        <v>0</v>
      </c>
      <c r="J103" s="14">
        <f t="shared" si="43"/>
        <v>0</v>
      </c>
      <c r="K103" s="62">
        <v>0</v>
      </c>
      <c r="L103" s="62">
        <v>0</v>
      </c>
    </row>
    <row r="104" spans="4:17" ht="16.05" customHeight="1" x14ac:dyDescent="0.3">
      <c r="D104" s="5" t="s">
        <v>90</v>
      </c>
      <c r="E104" s="16">
        <f t="shared" ref="E104:J104" si="44">-$E$101*E84</f>
        <v>0</v>
      </c>
      <c r="F104" s="16">
        <f t="shared" si="44"/>
        <v>0</v>
      </c>
      <c r="G104" s="16">
        <f t="shared" si="44"/>
        <v>0</v>
      </c>
      <c r="H104" s="16">
        <f t="shared" si="44"/>
        <v>0</v>
      </c>
      <c r="I104" s="16">
        <f t="shared" si="44"/>
        <v>0</v>
      </c>
      <c r="J104" s="16">
        <f t="shared" si="44"/>
        <v>0</v>
      </c>
      <c r="K104" s="83">
        <v>0</v>
      </c>
      <c r="L104" s="83">
        <v>0</v>
      </c>
    </row>
    <row r="105" spans="4:17" ht="4.95" customHeight="1" x14ac:dyDescent="0.3">
      <c r="E105" s="14"/>
      <c r="F105" s="14"/>
      <c r="G105" s="14"/>
      <c r="H105" s="14"/>
      <c r="I105" s="14"/>
      <c r="J105" s="14"/>
      <c r="K105" s="14"/>
      <c r="L105" s="14"/>
    </row>
    <row r="106" spans="4:17" ht="16.05" customHeight="1" x14ac:dyDescent="0.3">
      <c r="D106" s="1" t="s">
        <v>111</v>
      </c>
      <c r="E106" s="81">
        <v>0</v>
      </c>
      <c r="F106" s="14"/>
      <c r="G106" s="14"/>
      <c r="H106" s="14"/>
      <c r="I106" s="14"/>
      <c r="J106" s="14"/>
      <c r="K106" s="14"/>
      <c r="L106" s="14"/>
      <c r="N106" s="2"/>
    </row>
    <row r="107" spans="4:17" ht="16.05" customHeight="1" x14ac:dyDescent="0.3">
      <c r="D107" s="1" t="s">
        <v>89</v>
      </c>
      <c r="E107" s="62">
        <v>0</v>
      </c>
      <c r="F107" s="62">
        <v>0</v>
      </c>
      <c r="G107" s="62">
        <v>0</v>
      </c>
      <c r="H107" s="62">
        <v>0</v>
      </c>
      <c r="I107" s="62">
        <v>0</v>
      </c>
      <c r="J107" s="82">
        <f>E106</f>
        <v>0</v>
      </c>
      <c r="K107" s="62">
        <v>0</v>
      </c>
      <c r="L107" s="62">
        <v>0</v>
      </c>
    </row>
    <row r="108" spans="4:17" ht="16.05" customHeight="1" x14ac:dyDescent="0.3">
      <c r="D108" s="1" t="s">
        <v>91</v>
      </c>
      <c r="E108" s="62">
        <v>0</v>
      </c>
      <c r="F108" s="62">
        <v>0</v>
      </c>
      <c r="G108" s="62">
        <v>0</v>
      </c>
      <c r="H108" s="62">
        <v>0</v>
      </c>
      <c r="I108" s="62">
        <v>0</v>
      </c>
      <c r="J108" s="14">
        <f>-$E$106*J87</f>
        <v>0</v>
      </c>
      <c r="K108" s="14">
        <f>-$E$106*K87</f>
        <v>0</v>
      </c>
      <c r="L108" s="14">
        <f>-$E$106*L87</f>
        <v>0</v>
      </c>
    </row>
    <row r="109" spans="4:17" ht="16.05" customHeight="1" x14ac:dyDescent="0.3">
      <c r="D109" s="5" t="s">
        <v>90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</row>
    <row r="110" spans="4:17" ht="6" customHeight="1" x14ac:dyDescent="0.3">
      <c r="E110" s="14"/>
      <c r="F110" s="14"/>
      <c r="G110" s="14"/>
      <c r="H110" s="14"/>
      <c r="I110" s="14"/>
      <c r="J110" s="14"/>
      <c r="K110" s="14"/>
      <c r="L110" s="14"/>
    </row>
    <row r="111" spans="4:17" ht="16.05" customHeight="1" x14ac:dyDescent="0.3">
      <c r="D111" s="78" t="s">
        <v>92</v>
      </c>
      <c r="E111" s="79">
        <f t="shared" ref="E111:L113" si="45">E97+E102+E107</f>
        <v>0</v>
      </c>
      <c r="F111" s="79">
        <f t="shared" si="45"/>
        <v>0</v>
      </c>
      <c r="G111" s="79">
        <f t="shared" si="45"/>
        <v>0</v>
      </c>
      <c r="H111" s="79">
        <f t="shared" si="45"/>
        <v>0</v>
      </c>
      <c r="I111" s="79">
        <f t="shared" si="45"/>
        <v>0</v>
      </c>
      <c r="J111" s="79">
        <f t="shared" si="45"/>
        <v>0</v>
      </c>
      <c r="K111" s="79">
        <f t="shared" si="45"/>
        <v>0</v>
      </c>
      <c r="L111" s="79">
        <f t="shared" si="45"/>
        <v>0</v>
      </c>
    </row>
    <row r="112" spans="4:17" ht="16.05" customHeight="1" x14ac:dyDescent="0.3">
      <c r="D112" s="78" t="s">
        <v>39</v>
      </c>
      <c r="E112" s="79">
        <f t="shared" si="45"/>
        <v>-1.1599999999999999</v>
      </c>
      <c r="F112" s="79">
        <f t="shared" si="45"/>
        <v>-1.1599999999999999</v>
      </c>
      <c r="G112" s="79">
        <f t="shared" si="45"/>
        <v>-1.1599999999999999</v>
      </c>
      <c r="H112" s="79">
        <f t="shared" si="45"/>
        <v>-1.1599999999999999</v>
      </c>
      <c r="I112" s="79">
        <f t="shared" si="45"/>
        <v>-1.1599999999999999</v>
      </c>
      <c r="J112" s="79">
        <f t="shared" si="45"/>
        <v>-1.1599999999999999</v>
      </c>
      <c r="K112" s="79">
        <f t="shared" si="45"/>
        <v>0</v>
      </c>
      <c r="L112" s="79">
        <f t="shared" si="45"/>
        <v>0</v>
      </c>
      <c r="M112" s="23"/>
      <c r="N112" s="23"/>
      <c r="O112" s="8"/>
      <c r="P112" s="23"/>
      <c r="Q112" s="23"/>
    </row>
    <row r="113" spans="1:19" ht="16.2" thickBot="1" x14ac:dyDescent="0.35">
      <c r="D113" s="41" t="s">
        <v>93</v>
      </c>
      <c r="E113" s="77">
        <f t="shared" si="45"/>
        <v>-9.6666666666666661</v>
      </c>
      <c r="F113" s="77">
        <f t="shared" si="45"/>
        <v>-9.6666666666666661</v>
      </c>
      <c r="G113" s="77">
        <f t="shared" si="45"/>
        <v>-9.6666666666666661</v>
      </c>
      <c r="H113" s="77">
        <f t="shared" si="45"/>
        <v>-9.6666666666666661</v>
      </c>
      <c r="I113" s="77">
        <f t="shared" si="45"/>
        <v>-9.6666666666666661</v>
      </c>
      <c r="J113" s="77">
        <f t="shared" si="45"/>
        <v>-9.6666666666666661</v>
      </c>
      <c r="K113" s="77">
        <f t="shared" si="45"/>
        <v>0</v>
      </c>
      <c r="L113" s="77">
        <f t="shared" si="45"/>
        <v>0</v>
      </c>
    </row>
    <row r="116" spans="1:19" s="21" customFormat="1" x14ac:dyDescent="0.3">
      <c r="A116" s="1"/>
      <c r="B116" s="19">
        <f>MAX($B$1:$B90)+1</f>
        <v>4</v>
      </c>
      <c r="C116" s="1"/>
      <c r="D116" s="20" t="s">
        <v>43</v>
      </c>
    </row>
    <row r="118" spans="1:19" x14ac:dyDescent="0.3">
      <c r="D118" s="3" t="str">
        <f>D13</f>
        <v>Cible SA</v>
      </c>
      <c r="E118" s="3"/>
      <c r="F118" s="3"/>
    </row>
    <row r="119" spans="1:19" ht="16.2" thickBot="1" x14ac:dyDescent="0.35">
      <c r="D119" s="4" t="str">
        <f>D23</f>
        <v>Compte de résultat (en millions d'euros)</v>
      </c>
      <c r="E119" s="4" t="e">
        <f>#REF!</f>
        <v>#REF!</v>
      </c>
      <c r="F119" s="4">
        <f t="shared" ref="F119:L119" si="46">F23</f>
        <v>2020</v>
      </c>
      <c r="G119" s="9" t="str">
        <f t="shared" si="46"/>
        <v>2021E</v>
      </c>
      <c r="H119" s="9" t="str">
        <f t="shared" si="46"/>
        <v>2022E</v>
      </c>
      <c r="I119" s="9" t="str">
        <f t="shared" si="46"/>
        <v>2023E</v>
      </c>
      <c r="J119" s="9" t="str">
        <f t="shared" si="46"/>
        <v>2024E</v>
      </c>
      <c r="K119" s="9" t="str">
        <f t="shared" si="46"/>
        <v>2025E</v>
      </c>
      <c r="L119" s="9" t="str">
        <f t="shared" si="46"/>
        <v>2026E</v>
      </c>
    </row>
    <row r="120" spans="1:19" ht="4.95" customHeight="1" x14ac:dyDescent="0.3"/>
    <row r="121" spans="1:19" x14ac:dyDescent="0.3">
      <c r="D121" s="3" t="str">
        <f>D25</f>
        <v>Chiffre d'affaires</v>
      </c>
      <c r="E121" s="12" t="e">
        <f>#REF!</f>
        <v>#REF!</v>
      </c>
      <c r="F121" s="12" t="e">
        <f t="shared" ref="F121:L121" si="47">F25</f>
        <v>#REF!</v>
      </c>
      <c r="G121" s="12" t="e">
        <f t="shared" si="47"/>
        <v>#REF!</v>
      </c>
      <c r="H121" s="12" t="e">
        <f t="shared" si="47"/>
        <v>#REF!</v>
      </c>
      <c r="I121" s="12" t="e">
        <f t="shared" si="47"/>
        <v>#REF!</v>
      </c>
      <c r="J121" s="12" t="e">
        <f t="shared" si="47"/>
        <v>#REF!</v>
      </c>
      <c r="K121" s="12" t="e">
        <f t="shared" si="47"/>
        <v>#REF!</v>
      </c>
      <c r="L121" s="12" t="e">
        <f t="shared" si="47"/>
        <v>#REF!</v>
      </c>
    </row>
    <row r="122" spans="1:19" x14ac:dyDescent="0.3">
      <c r="D122" s="1" t="str">
        <f>D27</f>
        <v>Coûts directs</v>
      </c>
      <c r="E122" s="14" t="e">
        <f>#REF!</f>
        <v>#REF!</v>
      </c>
      <c r="F122" s="14" t="e">
        <f t="shared" ref="F122:L122" si="48">F27</f>
        <v>#REF!</v>
      </c>
      <c r="G122" s="14" t="e">
        <f t="shared" si="48"/>
        <v>#REF!</v>
      </c>
      <c r="H122" s="14" t="e">
        <f t="shared" si="48"/>
        <v>#REF!</v>
      </c>
      <c r="I122" s="14" t="e">
        <f t="shared" si="48"/>
        <v>#REF!</v>
      </c>
      <c r="J122" s="14" t="e">
        <f t="shared" si="48"/>
        <v>#REF!</v>
      </c>
      <c r="K122" s="14" t="e">
        <f t="shared" si="48"/>
        <v>#REF!</v>
      </c>
      <c r="L122" s="14" t="e">
        <f t="shared" si="48"/>
        <v>#REF!</v>
      </c>
    </row>
    <row r="123" spans="1:19" x14ac:dyDescent="0.3">
      <c r="D123" s="3" t="str">
        <f>D29</f>
        <v>Marge brute</v>
      </c>
      <c r="E123" s="12" t="e">
        <f>#REF!</f>
        <v>#REF!</v>
      </c>
      <c r="F123" s="12" t="e">
        <f t="shared" ref="F123:L123" si="49">F29</f>
        <v>#REF!</v>
      </c>
      <c r="G123" s="12" t="e">
        <f t="shared" si="49"/>
        <v>#REF!</v>
      </c>
      <c r="H123" s="12" t="e">
        <f t="shared" si="49"/>
        <v>#REF!</v>
      </c>
      <c r="I123" s="12" t="e">
        <f t="shared" si="49"/>
        <v>#REF!</v>
      </c>
      <c r="J123" s="12" t="e">
        <f t="shared" si="49"/>
        <v>#REF!</v>
      </c>
      <c r="K123" s="12" t="e">
        <f t="shared" si="49"/>
        <v>#REF!</v>
      </c>
      <c r="L123" s="12" t="e">
        <f t="shared" si="49"/>
        <v>#REF!</v>
      </c>
    </row>
    <row r="124" spans="1:19" x14ac:dyDescent="0.3">
      <c r="D124" s="5" t="str">
        <f>D32</f>
        <v>Frais généraux</v>
      </c>
      <c r="E124" s="16" t="e">
        <f>#REF!</f>
        <v>#REF!</v>
      </c>
      <c r="F124" s="16" t="e">
        <f t="shared" ref="F124:L124" si="50">F32</f>
        <v>#REF!</v>
      </c>
      <c r="G124" s="16" t="e">
        <f t="shared" si="50"/>
        <v>#REF!</v>
      </c>
      <c r="H124" s="16" t="e">
        <f t="shared" si="50"/>
        <v>#REF!</v>
      </c>
      <c r="I124" s="16" t="e">
        <f t="shared" si="50"/>
        <v>#REF!</v>
      </c>
      <c r="J124" s="16" t="e">
        <f t="shared" si="50"/>
        <v>#REF!</v>
      </c>
      <c r="K124" s="16" t="e">
        <f t="shared" si="50"/>
        <v>#REF!</v>
      </c>
      <c r="L124" s="16" t="e">
        <f t="shared" si="50"/>
        <v>#REF!</v>
      </c>
    </row>
    <row r="125" spans="1:19" x14ac:dyDescent="0.3">
      <c r="D125" s="45" t="str">
        <f>D33</f>
        <v>EBE ou EBITDA</v>
      </c>
      <c r="E125" s="46" t="e">
        <f>#REF!</f>
        <v>#REF!</v>
      </c>
      <c r="F125" s="46" t="e">
        <f t="shared" ref="F125:L125" si="51">F33</f>
        <v>#REF!</v>
      </c>
      <c r="G125" s="46" t="e">
        <f t="shared" si="51"/>
        <v>#REF!</v>
      </c>
      <c r="H125" s="46" t="e">
        <f t="shared" si="51"/>
        <v>#REF!</v>
      </c>
      <c r="I125" s="46" t="e">
        <f t="shared" si="51"/>
        <v>#REF!</v>
      </c>
      <c r="J125" s="46" t="e">
        <f t="shared" si="51"/>
        <v>#REF!</v>
      </c>
      <c r="K125" s="46" t="e">
        <f t="shared" si="51"/>
        <v>#REF!</v>
      </c>
      <c r="L125" s="46" t="e">
        <f t="shared" si="51"/>
        <v>#REF!</v>
      </c>
    </row>
    <row r="126" spans="1:19" x14ac:dyDescent="0.3">
      <c r="D126" s="5" t="str">
        <f>D35</f>
        <v xml:space="preserve">Dépréciations &amp; Amortissements </v>
      </c>
      <c r="E126" s="16" t="e">
        <f>#REF!</f>
        <v>#REF!</v>
      </c>
      <c r="F126" s="16" t="e">
        <f t="shared" ref="F126:L127" si="52">F35</f>
        <v>#REF!</v>
      </c>
      <c r="G126" s="16" t="e">
        <f t="shared" si="52"/>
        <v>#REF!</v>
      </c>
      <c r="H126" s="16" t="e">
        <f t="shared" si="52"/>
        <v>#REF!</v>
      </c>
      <c r="I126" s="16" t="e">
        <f t="shared" si="52"/>
        <v>#REF!</v>
      </c>
      <c r="J126" s="16" t="e">
        <f t="shared" si="52"/>
        <v>#REF!</v>
      </c>
      <c r="K126" s="16" t="e">
        <f t="shared" si="52"/>
        <v>#REF!</v>
      </c>
      <c r="L126" s="16" t="e">
        <f t="shared" si="52"/>
        <v>#REF!</v>
      </c>
    </row>
    <row r="127" spans="1:19" x14ac:dyDescent="0.3">
      <c r="D127" s="34" t="str">
        <f>D36</f>
        <v>Rex ou EBIT</v>
      </c>
      <c r="E127" s="35" t="e">
        <f>#REF!</f>
        <v>#REF!</v>
      </c>
      <c r="F127" s="35" t="e">
        <f t="shared" si="52"/>
        <v>#REF!</v>
      </c>
      <c r="G127" s="35" t="e">
        <f t="shared" si="52"/>
        <v>#REF!</v>
      </c>
      <c r="H127" s="35" t="e">
        <f t="shared" si="52"/>
        <v>#REF!</v>
      </c>
      <c r="I127" s="35" t="e">
        <f t="shared" si="52"/>
        <v>#REF!</v>
      </c>
      <c r="J127" s="35" t="e">
        <f t="shared" si="52"/>
        <v>#REF!</v>
      </c>
      <c r="K127" s="35" t="e">
        <f t="shared" si="52"/>
        <v>#REF!</v>
      </c>
      <c r="L127" s="35" t="e">
        <f t="shared" si="52"/>
        <v>#REF!</v>
      </c>
      <c r="S127" s="54"/>
    </row>
    <row r="128" spans="1:19" x14ac:dyDescent="0.3">
      <c r="D128" s="1" t="s">
        <v>39</v>
      </c>
      <c r="E128" s="14">
        <f>E112</f>
        <v>-1.1599999999999999</v>
      </c>
      <c r="F128" s="14">
        <f t="shared" ref="F128:L128" si="53">F112</f>
        <v>-1.1599999999999999</v>
      </c>
      <c r="G128" s="14">
        <f t="shared" si="53"/>
        <v>-1.1599999999999999</v>
      </c>
      <c r="H128" s="14">
        <f t="shared" si="53"/>
        <v>-1.1599999999999999</v>
      </c>
      <c r="I128" s="14">
        <f t="shared" si="53"/>
        <v>-1.1599999999999999</v>
      </c>
      <c r="J128" s="14">
        <f t="shared" si="53"/>
        <v>-1.1599999999999999</v>
      </c>
      <c r="K128" s="14">
        <f t="shared" si="53"/>
        <v>0</v>
      </c>
      <c r="L128" s="14">
        <f t="shared" si="53"/>
        <v>0</v>
      </c>
    </row>
    <row r="129" spans="4:12" x14ac:dyDescent="0.3">
      <c r="D129" s="30" t="s">
        <v>150</v>
      </c>
      <c r="E129" s="31" t="e">
        <f>E127+E128</f>
        <v>#REF!</v>
      </c>
      <c r="F129" s="31" t="e">
        <f t="shared" ref="F129:L129" si="54">F127+F128</f>
        <v>#REF!</v>
      </c>
      <c r="G129" s="31" t="e">
        <f t="shared" si="54"/>
        <v>#REF!</v>
      </c>
      <c r="H129" s="31" t="e">
        <f t="shared" si="54"/>
        <v>#REF!</v>
      </c>
      <c r="I129" s="31" t="e">
        <f t="shared" si="54"/>
        <v>#REF!</v>
      </c>
      <c r="J129" s="31" t="e">
        <f t="shared" si="54"/>
        <v>#REF!</v>
      </c>
      <c r="K129" s="31" t="e">
        <f t="shared" si="54"/>
        <v>#REF!</v>
      </c>
      <c r="L129" s="31" t="e">
        <f t="shared" si="54"/>
        <v>#REF!</v>
      </c>
    </row>
    <row r="130" spans="4:12" x14ac:dyDescent="0.3">
      <c r="D130" s="1" t="s">
        <v>149</v>
      </c>
      <c r="E130" s="14" t="e">
        <f>IF(E129&gt;0,-E8*E129,0)</f>
        <v>#REF!</v>
      </c>
      <c r="F130" s="14" t="e">
        <f t="shared" ref="F130:L130" si="55">IF(F129&gt;0,-F8*F129,0)</f>
        <v>#REF!</v>
      </c>
      <c r="G130" s="14" t="e">
        <f t="shared" si="55"/>
        <v>#REF!</v>
      </c>
      <c r="H130" s="14" t="e">
        <f t="shared" si="55"/>
        <v>#REF!</v>
      </c>
      <c r="I130" s="14" t="e">
        <f t="shared" si="55"/>
        <v>#REF!</v>
      </c>
      <c r="J130" s="14" t="e">
        <f t="shared" si="55"/>
        <v>#REF!</v>
      </c>
      <c r="K130" s="14" t="e">
        <f t="shared" si="55"/>
        <v>#REF!</v>
      </c>
      <c r="L130" s="14" t="e">
        <f t="shared" si="55"/>
        <v>#REF!</v>
      </c>
    </row>
    <row r="131" spans="4:12" ht="16.2" thickBot="1" x14ac:dyDescent="0.35">
      <c r="D131" s="101" t="s">
        <v>148</v>
      </c>
      <c r="E131" s="102" t="e">
        <f>E129+E130</f>
        <v>#REF!</v>
      </c>
      <c r="F131" s="102" t="e">
        <f t="shared" ref="F131:L131" si="56">F129+F130</f>
        <v>#REF!</v>
      </c>
      <c r="G131" s="102" t="e">
        <f t="shared" si="56"/>
        <v>#REF!</v>
      </c>
      <c r="H131" s="102" t="e">
        <f t="shared" si="56"/>
        <v>#REF!</v>
      </c>
      <c r="I131" s="102" t="e">
        <f t="shared" si="56"/>
        <v>#REF!</v>
      </c>
      <c r="J131" s="102" t="e">
        <f t="shared" si="56"/>
        <v>#REF!</v>
      </c>
      <c r="K131" s="102" t="e">
        <f t="shared" si="56"/>
        <v>#REF!</v>
      </c>
      <c r="L131" s="102" t="e">
        <f t="shared" si="56"/>
        <v>#REF!</v>
      </c>
    </row>
    <row r="137" spans="4:12" ht="16.2" thickBot="1" x14ac:dyDescent="0.35">
      <c r="D137" s="4" t="s">
        <v>103</v>
      </c>
      <c r="E137" s="4">
        <v>2019</v>
      </c>
      <c r="F137" s="4">
        <v>2020</v>
      </c>
      <c r="G137" s="9" t="s">
        <v>2</v>
      </c>
      <c r="H137" s="9" t="s">
        <v>3</v>
      </c>
      <c r="I137" s="9" t="s">
        <v>4</v>
      </c>
      <c r="J137" s="9" t="s">
        <v>5</v>
      </c>
      <c r="K137" s="9" t="s">
        <v>24</v>
      </c>
      <c r="L137" s="9" t="s">
        <v>25</v>
      </c>
    </row>
    <row r="138" spans="4:12" ht="4.95" customHeight="1" x14ac:dyDescent="0.3"/>
    <row r="139" spans="4:12" x14ac:dyDescent="0.3">
      <c r="D139" s="1" t="s">
        <v>104</v>
      </c>
      <c r="E139" s="14" t="e">
        <f>E127*(1-E8)</f>
        <v>#REF!</v>
      </c>
      <c r="F139" s="14" t="e">
        <f t="shared" ref="F139:L139" si="57">F127*(1-F8)</f>
        <v>#REF!</v>
      </c>
      <c r="G139" s="14" t="e">
        <f t="shared" si="57"/>
        <v>#REF!</v>
      </c>
      <c r="H139" s="14" t="e">
        <f t="shared" si="57"/>
        <v>#REF!</v>
      </c>
      <c r="I139" s="14" t="e">
        <f t="shared" si="57"/>
        <v>#REF!</v>
      </c>
      <c r="J139" s="14" t="e">
        <f t="shared" si="57"/>
        <v>#REF!</v>
      </c>
      <c r="K139" s="14" t="e">
        <f t="shared" si="57"/>
        <v>#REF!</v>
      </c>
      <c r="L139" s="14" t="e">
        <f t="shared" si="57"/>
        <v>#REF!</v>
      </c>
    </row>
    <row r="140" spans="4:12" x14ac:dyDescent="0.3">
      <c r="D140" s="5" t="s">
        <v>9</v>
      </c>
      <c r="E140" s="16" t="e">
        <f t="shared" ref="E140:L140" si="58">E121</f>
        <v>#REF!</v>
      </c>
      <c r="F140" s="16" t="e">
        <f t="shared" si="58"/>
        <v>#REF!</v>
      </c>
      <c r="G140" s="16" t="e">
        <f t="shared" si="58"/>
        <v>#REF!</v>
      </c>
      <c r="H140" s="16" t="e">
        <f t="shared" si="58"/>
        <v>#REF!</v>
      </c>
      <c r="I140" s="16" t="e">
        <f t="shared" si="58"/>
        <v>#REF!</v>
      </c>
      <c r="J140" s="16" t="e">
        <f t="shared" si="58"/>
        <v>#REF!</v>
      </c>
      <c r="K140" s="16" t="e">
        <f t="shared" si="58"/>
        <v>#REF!</v>
      </c>
      <c r="L140" s="16" t="e">
        <f t="shared" si="58"/>
        <v>#REF!</v>
      </c>
    </row>
    <row r="141" spans="4:12" x14ac:dyDescent="0.3">
      <c r="D141" s="45" t="s">
        <v>106</v>
      </c>
      <c r="E141" s="85" t="e">
        <f>E139/E140</f>
        <v>#REF!</v>
      </c>
      <c r="F141" s="85" t="e">
        <f t="shared" ref="F141:L141" si="59">F139/F140</f>
        <v>#REF!</v>
      </c>
      <c r="G141" s="85" t="e">
        <f t="shared" si="59"/>
        <v>#REF!</v>
      </c>
      <c r="H141" s="85" t="e">
        <f t="shared" si="59"/>
        <v>#REF!</v>
      </c>
      <c r="I141" s="85" t="e">
        <f t="shared" si="59"/>
        <v>#REF!</v>
      </c>
      <c r="J141" s="85" t="e">
        <f t="shared" si="59"/>
        <v>#REF!</v>
      </c>
      <c r="K141" s="85" t="e">
        <f t="shared" si="59"/>
        <v>#REF!</v>
      </c>
      <c r="L141" s="85" t="e">
        <f t="shared" si="59"/>
        <v>#REF!</v>
      </c>
    </row>
    <row r="142" spans="4:12" ht="4.95" customHeight="1" x14ac:dyDescent="0.3"/>
    <row r="143" spans="4:12" x14ac:dyDescent="0.3">
      <c r="D143" s="1" t="s">
        <v>9</v>
      </c>
      <c r="E143" s="14" t="e">
        <f>E140</f>
        <v>#REF!</v>
      </c>
      <c r="F143" s="14" t="e">
        <f t="shared" ref="F143:L143" si="60">F140</f>
        <v>#REF!</v>
      </c>
      <c r="G143" s="14" t="e">
        <f t="shared" si="60"/>
        <v>#REF!</v>
      </c>
      <c r="H143" s="14" t="e">
        <f t="shared" si="60"/>
        <v>#REF!</v>
      </c>
      <c r="I143" s="14" t="e">
        <f t="shared" si="60"/>
        <v>#REF!</v>
      </c>
      <c r="J143" s="14" t="e">
        <f t="shared" si="60"/>
        <v>#REF!</v>
      </c>
      <c r="K143" s="14" t="e">
        <f t="shared" si="60"/>
        <v>#REF!</v>
      </c>
      <c r="L143" s="14" t="e">
        <f t="shared" si="60"/>
        <v>#REF!</v>
      </c>
    </row>
    <row r="144" spans="4:12" x14ac:dyDescent="0.3">
      <c r="D144" s="5" t="s">
        <v>105</v>
      </c>
      <c r="E144" s="86" t="e">
        <f t="shared" ref="E144:L144" si="61">E45</f>
        <v>#REF!</v>
      </c>
      <c r="F144" s="86" t="e">
        <f t="shared" si="61"/>
        <v>#REF!</v>
      </c>
      <c r="G144" s="86" t="e">
        <f t="shared" si="61"/>
        <v>#REF!</v>
      </c>
      <c r="H144" s="86" t="e">
        <f t="shared" si="61"/>
        <v>#REF!</v>
      </c>
      <c r="I144" s="86" t="e">
        <f t="shared" si="61"/>
        <v>#REF!</v>
      </c>
      <c r="J144" s="86" t="e">
        <f t="shared" si="61"/>
        <v>#REF!</v>
      </c>
      <c r="K144" s="86" t="e">
        <f t="shared" si="61"/>
        <v>#REF!</v>
      </c>
      <c r="L144" s="86" t="e">
        <f t="shared" si="61"/>
        <v>#REF!</v>
      </c>
    </row>
    <row r="145" spans="4:12" x14ac:dyDescent="0.3">
      <c r="D145" s="1" t="s">
        <v>151</v>
      </c>
      <c r="E145" s="57" t="e">
        <f>E143/E144</f>
        <v>#REF!</v>
      </c>
      <c r="F145" s="57" t="e">
        <f t="shared" ref="F145:L145" si="62">F143/F144</f>
        <v>#REF!</v>
      </c>
      <c r="G145" s="57" t="e">
        <f t="shared" si="62"/>
        <v>#REF!</v>
      </c>
      <c r="H145" s="57" t="e">
        <f t="shared" si="62"/>
        <v>#REF!</v>
      </c>
      <c r="I145" s="57" t="e">
        <f t="shared" si="62"/>
        <v>#REF!</v>
      </c>
      <c r="J145" s="57" t="e">
        <f t="shared" si="62"/>
        <v>#REF!</v>
      </c>
      <c r="K145" s="57" t="e">
        <f t="shared" si="62"/>
        <v>#REF!</v>
      </c>
      <c r="L145" s="57" t="e">
        <f t="shared" si="62"/>
        <v>#REF!</v>
      </c>
    </row>
    <row r="146" spans="4:12" ht="4.95" customHeight="1" x14ac:dyDescent="0.3">
      <c r="D146" s="84"/>
      <c r="E146" s="84"/>
      <c r="F146" s="84"/>
      <c r="G146" s="84"/>
      <c r="H146" s="84"/>
      <c r="I146" s="84"/>
      <c r="J146" s="84"/>
      <c r="K146" s="84"/>
      <c r="L146" s="84"/>
    </row>
    <row r="147" spans="4:12" x14ac:dyDescent="0.3">
      <c r="D147" s="78" t="s">
        <v>26</v>
      </c>
      <c r="E147" s="88" t="e">
        <f>E141*E145</f>
        <v>#REF!</v>
      </c>
      <c r="F147" s="88" t="e">
        <f t="shared" ref="F147:L147" si="63">F141*F145</f>
        <v>#REF!</v>
      </c>
      <c r="G147" s="88" t="e">
        <f t="shared" si="63"/>
        <v>#REF!</v>
      </c>
      <c r="H147" s="88" t="e">
        <f t="shared" si="63"/>
        <v>#REF!</v>
      </c>
      <c r="I147" s="88" t="e">
        <f t="shared" si="63"/>
        <v>#REF!</v>
      </c>
      <c r="J147" s="88" t="e">
        <f t="shared" si="63"/>
        <v>#REF!</v>
      </c>
      <c r="K147" s="88" t="e">
        <f t="shared" si="63"/>
        <v>#REF!</v>
      </c>
      <c r="L147" s="88" t="e">
        <f t="shared" si="63"/>
        <v>#REF!</v>
      </c>
    </row>
    <row r="148" spans="4:12" ht="4.95" customHeight="1" thickBot="1" x14ac:dyDescent="0.35">
      <c r="D148" s="89"/>
      <c r="E148" s="89"/>
      <c r="F148" s="89"/>
      <c r="G148" s="89"/>
      <c r="H148" s="89"/>
      <c r="I148" s="89"/>
      <c r="J148" s="89"/>
      <c r="K148" s="89"/>
      <c r="L148" s="89"/>
    </row>
    <row r="154" spans="4:12" ht="16.2" thickBot="1" x14ac:dyDescent="0.35">
      <c r="D154" s="4" t="s">
        <v>107</v>
      </c>
      <c r="E154" s="4">
        <v>2019</v>
      </c>
      <c r="F154" s="4">
        <v>2020</v>
      </c>
      <c r="G154" s="9" t="s">
        <v>2</v>
      </c>
      <c r="H154" s="9" t="s">
        <v>3</v>
      </c>
      <c r="I154" s="9" t="s">
        <v>4</v>
      </c>
      <c r="J154" s="9" t="s">
        <v>5</v>
      </c>
      <c r="K154" s="9" t="s">
        <v>24</v>
      </c>
      <c r="L154" s="9" t="s">
        <v>25</v>
      </c>
    </row>
    <row r="155" spans="4:12" ht="4.95" customHeight="1" x14ac:dyDescent="0.3"/>
    <row r="156" spans="4:12" x14ac:dyDescent="0.3">
      <c r="D156" s="1" t="s">
        <v>108</v>
      </c>
      <c r="E156" s="14" t="e">
        <f>E43-E35-E47</f>
        <v>#REF!</v>
      </c>
      <c r="F156" s="14" t="e">
        <f>E159</f>
        <v>#REF!</v>
      </c>
      <c r="G156" s="14" t="e">
        <f t="shared" ref="G156:L156" si="64">F159</f>
        <v>#REF!</v>
      </c>
      <c r="H156" s="14" t="e">
        <f t="shared" si="64"/>
        <v>#REF!</v>
      </c>
      <c r="I156" s="14" t="e">
        <f t="shared" si="64"/>
        <v>#REF!</v>
      </c>
      <c r="J156" s="14" t="e">
        <f t="shared" si="64"/>
        <v>#REF!</v>
      </c>
      <c r="K156" s="14" t="e">
        <f t="shared" si="64"/>
        <v>#REF!</v>
      </c>
      <c r="L156" s="14" t="e">
        <f t="shared" si="64"/>
        <v>#REF!</v>
      </c>
    </row>
    <row r="157" spans="4:12" x14ac:dyDescent="0.3">
      <c r="D157" s="1" t="s">
        <v>31</v>
      </c>
      <c r="E157" s="14" t="e">
        <f t="shared" ref="E157:L157" si="65">-E71</f>
        <v>#REF!</v>
      </c>
      <c r="F157" s="14" t="e">
        <f t="shared" si="65"/>
        <v>#REF!</v>
      </c>
      <c r="G157" s="14" t="e">
        <f t="shared" si="65"/>
        <v>#REF!</v>
      </c>
      <c r="H157" s="14" t="e">
        <f t="shared" si="65"/>
        <v>#REF!</v>
      </c>
      <c r="I157" s="14" t="e">
        <f t="shared" si="65"/>
        <v>#REF!</v>
      </c>
      <c r="J157" s="14" t="e">
        <f t="shared" si="65"/>
        <v>#REF!</v>
      </c>
      <c r="K157" s="14" t="e">
        <f t="shared" si="65"/>
        <v>#REF!</v>
      </c>
      <c r="L157" s="14" t="e">
        <f t="shared" si="65"/>
        <v>#REF!</v>
      </c>
    </row>
    <row r="158" spans="4:12" x14ac:dyDescent="0.3">
      <c r="D158" s="1" t="s">
        <v>36</v>
      </c>
      <c r="E158" s="14" t="e">
        <f t="shared" ref="E158:L158" si="66">E126</f>
        <v>#REF!</v>
      </c>
      <c r="F158" s="14" t="e">
        <f t="shared" si="66"/>
        <v>#REF!</v>
      </c>
      <c r="G158" s="14" t="e">
        <f t="shared" si="66"/>
        <v>#REF!</v>
      </c>
      <c r="H158" s="14" t="e">
        <f t="shared" si="66"/>
        <v>#REF!</v>
      </c>
      <c r="I158" s="14" t="e">
        <f t="shared" si="66"/>
        <v>#REF!</v>
      </c>
      <c r="J158" s="14" t="e">
        <f t="shared" si="66"/>
        <v>#REF!</v>
      </c>
      <c r="K158" s="14" t="e">
        <f t="shared" si="66"/>
        <v>#REF!</v>
      </c>
      <c r="L158" s="14" t="e">
        <f t="shared" si="66"/>
        <v>#REF!</v>
      </c>
    </row>
    <row r="159" spans="4:12" ht="16.2" thickBot="1" x14ac:dyDescent="0.35">
      <c r="D159" s="51" t="s">
        <v>109</v>
      </c>
      <c r="E159" s="52" t="e">
        <f>E156+E157+E158</f>
        <v>#REF!</v>
      </c>
      <c r="F159" s="52" t="e">
        <f t="shared" ref="F159:L159" si="67">F156+F157+F158</f>
        <v>#REF!</v>
      </c>
      <c r="G159" s="52" t="e">
        <f t="shared" si="67"/>
        <v>#REF!</v>
      </c>
      <c r="H159" s="52" t="e">
        <f t="shared" si="67"/>
        <v>#REF!</v>
      </c>
      <c r="I159" s="52" t="e">
        <f t="shared" si="67"/>
        <v>#REF!</v>
      </c>
      <c r="J159" s="52" t="e">
        <f t="shared" si="67"/>
        <v>#REF!</v>
      </c>
      <c r="K159" s="52" t="e">
        <f t="shared" si="67"/>
        <v>#REF!</v>
      </c>
      <c r="L159" s="52" t="e">
        <f t="shared" si="67"/>
        <v>#REF!</v>
      </c>
    </row>
    <row r="162" spans="4:12" x14ac:dyDescent="0.3">
      <c r="D162" s="3" t="s">
        <v>7</v>
      </c>
      <c r="E162" s="3"/>
      <c r="F162" s="3"/>
    </row>
    <row r="163" spans="4:12" ht="16.2" thickBot="1" x14ac:dyDescent="0.35">
      <c r="D163" s="4" t="s">
        <v>45</v>
      </c>
      <c r="E163" s="4" t="e">
        <f>#REF!</f>
        <v>#REF!</v>
      </c>
      <c r="F163" s="4">
        <v>2020</v>
      </c>
      <c r="G163" s="9" t="s">
        <v>2</v>
      </c>
      <c r="H163" s="9" t="s">
        <v>3</v>
      </c>
      <c r="I163" s="9" t="s">
        <v>4</v>
      </c>
      <c r="J163" s="9" t="s">
        <v>5</v>
      </c>
      <c r="K163" s="9" t="s">
        <v>24</v>
      </c>
      <c r="L163" s="9" t="s">
        <v>25</v>
      </c>
    </row>
    <row r="164" spans="4:12" ht="4.95" customHeight="1" x14ac:dyDescent="0.3"/>
    <row r="165" spans="4:12" x14ac:dyDescent="0.3">
      <c r="D165" s="1" t="s">
        <v>46</v>
      </c>
      <c r="E165" s="14" t="e">
        <f>#REF!</f>
        <v>#REF!</v>
      </c>
      <c r="F165" s="14" t="e">
        <f t="shared" ref="F165:L166" si="68">F43</f>
        <v>#REF!</v>
      </c>
      <c r="G165" s="14" t="e">
        <f t="shared" si="68"/>
        <v>#REF!</v>
      </c>
      <c r="H165" s="14" t="e">
        <f t="shared" si="68"/>
        <v>#REF!</v>
      </c>
      <c r="I165" s="14" t="e">
        <f t="shared" si="68"/>
        <v>#REF!</v>
      </c>
      <c r="J165" s="14" t="e">
        <f t="shared" si="68"/>
        <v>#REF!</v>
      </c>
      <c r="K165" s="14" t="e">
        <f t="shared" si="68"/>
        <v>#REF!</v>
      </c>
      <c r="L165" s="14" t="e">
        <f t="shared" si="68"/>
        <v>#REF!</v>
      </c>
    </row>
    <row r="166" spans="4:12" x14ac:dyDescent="0.3">
      <c r="D166" s="1" t="s">
        <v>28</v>
      </c>
      <c r="E166" s="14" t="e">
        <f>#REF!</f>
        <v>#REF!</v>
      </c>
      <c r="F166" s="14" t="e">
        <f t="shared" si="68"/>
        <v>#REF!</v>
      </c>
      <c r="G166" s="14" t="e">
        <f t="shared" si="68"/>
        <v>#REF!</v>
      </c>
      <c r="H166" s="14" t="e">
        <f t="shared" si="68"/>
        <v>#REF!</v>
      </c>
      <c r="I166" s="14" t="e">
        <f t="shared" si="68"/>
        <v>#REF!</v>
      </c>
      <c r="J166" s="14" t="e">
        <f t="shared" si="68"/>
        <v>#REF!</v>
      </c>
      <c r="K166" s="14" t="e">
        <f t="shared" si="68"/>
        <v>#REF!</v>
      </c>
      <c r="L166" s="14" t="e">
        <f t="shared" si="68"/>
        <v>#REF!</v>
      </c>
    </row>
    <row r="167" spans="4:12" ht="16.2" thickBot="1" x14ac:dyDescent="0.35">
      <c r="D167" s="51" t="s">
        <v>32</v>
      </c>
      <c r="E167" s="52" t="e">
        <f>#REF!</f>
        <v>#REF!</v>
      </c>
      <c r="F167" s="52" t="e">
        <f>SUM(F165:F166)</f>
        <v>#REF!</v>
      </c>
      <c r="G167" s="52" t="e">
        <f t="shared" ref="G167:L167" si="69">SUM(G165:G166)</f>
        <v>#REF!</v>
      </c>
      <c r="H167" s="52" t="e">
        <f t="shared" si="69"/>
        <v>#REF!</v>
      </c>
      <c r="I167" s="52" t="e">
        <f t="shared" si="69"/>
        <v>#REF!</v>
      </c>
      <c r="J167" s="52" t="e">
        <f t="shared" si="69"/>
        <v>#REF!</v>
      </c>
      <c r="K167" s="52" t="e">
        <f t="shared" si="69"/>
        <v>#REF!</v>
      </c>
      <c r="L167" s="52" t="e">
        <f t="shared" si="69"/>
        <v>#REF!</v>
      </c>
    </row>
    <row r="168" spans="4:12" x14ac:dyDescent="0.3">
      <c r="D168" s="23" t="s">
        <v>47</v>
      </c>
      <c r="E168" s="26" t="e">
        <f>#REF!</f>
        <v>#REF!</v>
      </c>
      <c r="F168" s="26" t="e">
        <f>E168+F131+F79</f>
        <v>#REF!</v>
      </c>
      <c r="G168" s="26" t="e">
        <f t="shared" ref="G168:L168" si="70">F168+G131+G79</f>
        <v>#REF!</v>
      </c>
      <c r="H168" s="26" t="e">
        <f t="shared" si="70"/>
        <v>#REF!</v>
      </c>
      <c r="I168" s="26" t="e">
        <f t="shared" si="70"/>
        <v>#REF!</v>
      </c>
      <c r="J168" s="26" t="e">
        <f t="shared" si="70"/>
        <v>#REF!</v>
      </c>
      <c r="K168" s="26" t="e">
        <f t="shared" si="70"/>
        <v>#REF!</v>
      </c>
      <c r="L168" s="26" t="e">
        <f t="shared" si="70"/>
        <v>#REF!</v>
      </c>
    </row>
    <row r="169" spans="4:12" x14ac:dyDescent="0.3">
      <c r="D169" s="5" t="s">
        <v>48</v>
      </c>
      <c r="E169" s="16" t="e">
        <f>#REF!</f>
        <v>#REF!</v>
      </c>
      <c r="F169" s="16" t="e">
        <f>E169+F80</f>
        <v>#REF!</v>
      </c>
      <c r="G169" s="16" t="e">
        <f t="shared" ref="G169:L169" si="71">F169+G80</f>
        <v>#REF!</v>
      </c>
      <c r="H169" s="16" t="e">
        <f t="shared" si="71"/>
        <v>#REF!</v>
      </c>
      <c r="I169" s="16" t="e">
        <f t="shared" si="71"/>
        <v>#REF!</v>
      </c>
      <c r="J169" s="16" t="e">
        <f t="shared" si="71"/>
        <v>#REF!</v>
      </c>
      <c r="K169" s="16" t="e">
        <f t="shared" si="71"/>
        <v>#REF!</v>
      </c>
      <c r="L169" s="16" t="e">
        <f t="shared" si="71"/>
        <v>#REF!</v>
      </c>
    </row>
    <row r="170" spans="4:12" ht="16.2" thickBot="1" x14ac:dyDescent="0.35">
      <c r="D170" s="51" t="s">
        <v>27</v>
      </c>
      <c r="E170" s="52" t="e">
        <f>#REF!</f>
        <v>#REF!</v>
      </c>
      <c r="F170" s="52" t="e">
        <f>SUM(F168:F169)</f>
        <v>#REF!</v>
      </c>
      <c r="G170" s="52" t="e">
        <f t="shared" ref="G170:L170" si="72">SUM(G168:G169)</f>
        <v>#REF!</v>
      </c>
      <c r="H170" s="52" t="e">
        <f>SUM(H168:H169)</f>
        <v>#REF!</v>
      </c>
      <c r="I170" s="52" t="e">
        <f t="shared" si="72"/>
        <v>#REF!</v>
      </c>
      <c r="J170" s="52" t="e">
        <f t="shared" si="72"/>
        <v>#REF!</v>
      </c>
      <c r="K170" s="52" t="e">
        <f t="shared" si="72"/>
        <v>#REF!</v>
      </c>
      <c r="L170" s="52" t="e">
        <f t="shared" si="72"/>
        <v>#REF!</v>
      </c>
    </row>
    <row r="171" spans="4:12" x14ac:dyDescent="0.3">
      <c r="E171" s="74"/>
      <c r="F171" s="74"/>
      <c r="G171" s="74"/>
      <c r="H171" s="74"/>
      <c r="I171" s="74"/>
      <c r="J171" s="74"/>
      <c r="K171" s="74"/>
      <c r="L171" s="74"/>
    </row>
    <row r="172" spans="4:12" x14ac:dyDescent="0.3">
      <c r="E172" s="57"/>
      <c r="F172" s="57"/>
      <c r="G172" s="57"/>
      <c r="H172" s="57"/>
      <c r="I172" s="57"/>
      <c r="J172" s="57"/>
      <c r="K172" s="57"/>
      <c r="L172" s="57"/>
    </row>
    <row r="173" spans="4:12" ht="16.2" thickBot="1" x14ac:dyDescent="0.35">
      <c r="D173" s="59" t="s">
        <v>118</v>
      </c>
      <c r="E173" s="60"/>
      <c r="F173" s="60"/>
      <c r="G173" s="60"/>
      <c r="H173" s="60"/>
      <c r="I173" s="60"/>
      <c r="J173" s="60"/>
      <c r="K173" s="60"/>
      <c r="L173" s="60"/>
    </row>
    <row r="174" spans="4:12" ht="16.2" thickBot="1" x14ac:dyDescent="0.35">
      <c r="D174" s="17" t="s">
        <v>49</v>
      </c>
      <c r="E174" s="53" t="e">
        <f>#REF!</f>
        <v>#REF!</v>
      </c>
      <c r="F174" s="53" t="e">
        <f t="shared" ref="F174:L174" si="73">F169/F125</f>
        <v>#REF!</v>
      </c>
      <c r="G174" s="53" t="e">
        <f t="shared" si="73"/>
        <v>#REF!</v>
      </c>
      <c r="H174" s="53" t="e">
        <f t="shared" si="73"/>
        <v>#REF!</v>
      </c>
      <c r="I174" s="53" t="e">
        <f t="shared" si="73"/>
        <v>#REF!</v>
      </c>
      <c r="J174" s="53" t="e">
        <f t="shared" si="73"/>
        <v>#REF!</v>
      </c>
      <c r="K174" s="63" t="e">
        <f t="shared" si="73"/>
        <v>#REF!</v>
      </c>
      <c r="L174" s="63" t="e">
        <f t="shared" si="73"/>
        <v>#REF!</v>
      </c>
    </row>
    <row r="177" spans="1:12" s="21" customFormat="1" x14ac:dyDescent="0.3">
      <c r="A177" s="1"/>
      <c r="B177" s="19">
        <f>MAX($B$1:$B176)+1</f>
        <v>5</v>
      </c>
      <c r="C177" s="1"/>
      <c r="D177" s="20" t="s">
        <v>78</v>
      </c>
      <c r="E177" s="20"/>
    </row>
    <row r="179" spans="1:12" x14ac:dyDescent="0.3">
      <c r="D179" s="3" t="s">
        <v>7</v>
      </c>
      <c r="E179" s="3"/>
      <c r="F179" s="3"/>
    </row>
    <row r="180" spans="1:12" x14ac:dyDescent="0.3">
      <c r="D180" s="8" t="s">
        <v>96</v>
      </c>
      <c r="E180" s="8">
        <v>2019</v>
      </c>
      <c r="F180" s="8">
        <v>2020</v>
      </c>
      <c r="G180" s="90" t="s">
        <v>2</v>
      </c>
      <c r="H180" s="90" t="s">
        <v>3</v>
      </c>
      <c r="I180" s="90" t="s">
        <v>4</v>
      </c>
      <c r="J180" s="90" t="s">
        <v>5</v>
      </c>
      <c r="K180" s="90" t="s">
        <v>24</v>
      </c>
      <c r="L180" s="90" t="s">
        <v>25</v>
      </c>
    </row>
    <row r="181" spans="1:12" ht="4.95" customHeight="1" thickBot="1" x14ac:dyDescent="0.35">
      <c r="D181" s="17"/>
      <c r="E181" s="17"/>
      <c r="F181" s="17"/>
      <c r="G181" s="17"/>
      <c r="H181" s="17"/>
      <c r="I181" s="17"/>
      <c r="J181" s="17"/>
      <c r="K181" s="17"/>
      <c r="L181" s="17"/>
    </row>
    <row r="182" spans="1:12" ht="16.05" customHeight="1" x14ac:dyDescent="0.3">
      <c r="D182" s="92" t="s">
        <v>9</v>
      </c>
      <c r="E182" s="93" t="e">
        <f t="shared" ref="E182:L182" si="74">E25</f>
        <v>#REF!</v>
      </c>
      <c r="F182" s="93" t="e">
        <f t="shared" si="74"/>
        <v>#REF!</v>
      </c>
      <c r="G182" s="93" t="e">
        <f t="shared" si="74"/>
        <v>#REF!</v>
      </c>
      <c r="H182" s="93" t="e">
        <f t="shared" si="74"/>
        <v>#REF!</v>
      </c>
      <c r="I182" s="93" t="e">
        <f t="shared" si="74"/>
        <v>#REF!</v>
      </c>
      <c r="J182" s="93" t="e">
        <f t="shared" si="74"/>
        <v>#REF!</v>
      </c>
      <c r="K182" s="93" t="e">
        <f t="shared" si="74"/>
        <v>#REF!</v>
      </c>
      <c r="L182" s="93" t="e">
        <f t="shared" si="74"/>
        <v>#REF!</v>
      </c>
    </row>
    <row r="183" spans="1:12" ht="4.95" customHeight="1" x14ac:dyDescent="0.3"/>
    <row r="184" spans="1:12" x14ac:dyDescent="0.3">
      <c r="D184" s="1" t="s">
        <v>72</v>
      </c>
      <c r="E184" s="14" t="e">
        <f t="shared" ref="E184:L184" si="75">E210*E182</f>
        <v>#REF!</v>
      </c>
      <c r="F184" s="14" t="e">
        <f t="shared" si="75"/>
        <v>#REF!</v>
      </c>
      <c r="G184" s="14" t="e">
        <f t="shared" si="75"/>
        <v>#REF!</v>
      </c>
      <c r="H184" s="14" t="e">
        <f t="shared" si="75"/>
        <v>#REF!</v>
      </c>
      <c r="I184" s="14" t="e">
        <f t="shared" si="75"/>
        <v>#REF!</v>
      </c>
      <c r="J184" s="14" t="e">
        <f t="shared" si="75"/>
        <v>#REF!</v>
      </c>
      <c r="K184" s="14" t="e">
        <f t="shared" si="75"/>
        <v>#REF!</v>
      </c>
      <c r="L184" s="14" t="e">
        <f t="shared" si="75"/>
        <v>#REF!</v>
      </c>
    </row>
    <row r="185" spans="1:12" x14ac:dyDescent="0.3">
      <c r="D185" s="45" t="s">
        <v>79</v>
      </c>
      <c r="E185" s="72" t="e">
        <f>(E184/E182)*365</f>
        <v>#REF!</v>
      </c>
      <c r="F185" s="72" t="e">
        <f t="shared" ref="F185:L185" si="76">(F184/F182)*365</f>
        <v>#REF!</v>
      </c>
      <c r="G185" s="72" t="e">
        <f t="shared" si="76"/>
        <v>#REF!</v>
      </c>
      <c r="H185" s="72" t="e">
        <f t="shared" si="76"/>
        <v>#REF!</v>
      </c>
      <c r="I185" s="72" t="e">
        <f t="shared" si="76"/>
        <v>#REF!</v>
      </c>
      <c r="J185" s="72" t="e">
        <f t="shared" si="76"/>
        <v>#REF!</v>
      </c>
      <c r="K185" s="72" t="e">
        <f t="shared" si="76"/>
        <v>#REF!</v>
      </c>
      <c r="L185" s="72" t="e">
        <f t="shared" si="76"/>
        <v>#REF!</v>
      </c>
    </row>
    <row r="186" spans="1:12" s="22" customFormat="1" ht="4.95" customHeight="1" x14ac:dyDescent="0.3">
      <c r="D186" s="75"/>
      <c r="E186" s="76"/>
      <c r="F186" s="76"/>
      <c r="G186" s="76"/>
      <c r="H186" s="76"/>
      <c r="I186" s="76"/>
      <c r="J186" s="76"/>
      <c r="K186" s="76"/>
      <c r="L186" s="76"/>
    </row>
    <row r="187" spans="1:12" x14ac:dyDescent="0.3">
      <c r="D187" s="23" t="s">
        <v>73</v>
      </c>
      <c r="E187" s="26" t="e">
        <f t="shared" ref="E187:L187" si="77">E211*E182</f>
        <v>#REF!</v>
      </c>
      <c r="F187" s="26" t="e">
        <f t="shared" si="77"/>
        <v>#REF!</v>
      </c>
      <c r="G187" s="26" t="e">
        <f t="shared" si="77"/>
        <v>#REF!</v>
      </c>
      <c r="H187" s="26" t="e">
        <f t="shared" si="77"/>
        <v>#REF!</v>
      </c>
      <c r="I187" s="26" t="e">
        <f t="shared" si="77"/>
        <v>#REF!</v>
      </c>
      <c r="J187" s="26" t="e">
        <f t="shared" si="77"/>
        <v>#REF!</v>
      </c>
      <c r="K187" s="26" t="e">
        <f t="shared" si="77"/>
        <v>#REF!</v>
      </c>
      <c r="L187" s="26" t="e">
        <f t="shared" si="77"/>
        <v>#REF!</v>
      </c>
    </row>
    <row r="188" spans="1:12" x14ac:dyDescent="0.3">
      <c r="D188" s="45" t="s">
        <v>80</v>
      </c>
      <c r="E188" s="72" t="e">
        <f t="shared" ref="E188:L188" si="78">(E187/E182)*365</f>
        <v>#REF!</v>
      </c>
      <c r="F188" s="72" t="e">
        <f t="shared" si="78"/>
        <v>#REF!</v>
      </c>
      <c r="G188" s="72" t="e">
        <f t="shared" si="78"/>
        <v>#REF!</v>
      </c>
      <c r="H188" s="72" t="e">
        <f t="shared" si="78"/>
        <v>#REF!</v>
      </c>
      <c r="I188" s="72" t="e">
        <f t="shared" si="78"/>
        <v>#REF!</v>
      </c>
      <c r="J188" s="72" t="e">
        <f t="shared" si="78"/>
        <v>#REF!</v>
      </c>
      <c r="K188" s="72" t="e">
        <f t="shared" si="78"/>
        <v>#REF!</v>
      </c>
      <c r="L188" s="72" t="e">
        <f t="shared" si="78"/>
        <v>#REF!</v>
      </c>
    </row>
    <row r="189" spans="1:12" ht="4.95" customHeight="1" x14ac:dyDescent="0.3"/>
    <row r="190" spans="1:12" ht="16.05" customHeight="1" x14ac:dyDescent="0.3">
      <c r="D190" s="23" t="s">
        <v>84</v>
      </c>
      <c r="E190" s="26" t="e">
        <f t="shared" ref="E190:L190" si="79">E212*E182</f>
        <v>#REF!</v>
      </c>
      <c r="F190" s="26" t="e">
        <f t="shared" si="79"/>
        <v>#REF!</v>
      </c>
      <c r="G190" s="26" t="e">
        <f t="shared" si="79"/>
        <v>#REF!</v>
      </c>
      <c r="H190" s="26" t="e">
        <f t="shared" si="79"/>
        <v>#REF!</v>
      </c>
      <c r="I190" s="26" t="e">
        <f t="shared" si="79"/>
        <v>#REF!</v>
      </c>
      <c r="J190" s="26" t="e">
        <f t="shared" si="79"/>
        <v>#REF!</v>
      </c>
      <c r="K190" s="26" t="e">
        <f t="shared" si="79"/>
        <v>#REF!</v>
      </c>
      <c r="L190" s="26" t="e">
        <f t="shared" si="79"/>
        <v>#REF!</v>
      </c>
    </row>
    <row r="191" spans="1:12" ht="16.05" customHeight="1" x14ac:dyDescent="0.3">
      <c r="D191" s="45" t="s">
        <v>83</v>
      </c>
      <c r="E191" s="72" t="e">
        <f t="shared" ref="E191:L191" si="80">(E190/E182)*365</f>
        <v>#REF!</v>
      </c>
      <c r="F191" s="72" t="e">
        <f t="shared" si="80"/>
        <v>#REF!</v>
      </c>
      <c r="G191" s="72" t="e">
        <f t="shared" si="80"/>
        <v>#REF!</v>
      </c>
      <c r="H191" s="72" t="e">
        <f t="shared" si="80"/>
        <v>#REF!</v>
      </c>
      <c r="I191" s="72" t="e">
        <f t="shared" si="80"/>
        <v>#REF!</v>
      </c>
      <c r="J191" s="72" t="e">
        <f t="shared" si="80"/>
        <v>#REF!</v>
      </c>
      <c r="K191" s="72" t="e">
        <f t="shared" si="80"/>
        <v>#REF!</v>
      </c>
      <c r="L191" s="72" t="e">
        <f t="shared" si="80"/>
        <v>#REF!</v>
      </c>
    </row>
    <row r="192" spans="1:12" ht="4.95" customHeight="1" x14ac:dyDescent="0.3"/>
    <row r="193" spans="4:12" x14ac:dyDescent="0.3">
      <c r="D193" s="1" t="s">
        <v>74</v>
      </c>
      <c r="E193" s="14" t="e">
        <f t="shared" ref="E193:L193" si="81">E213*E182</f>
        <v>#REF!</v>
      </c>
      <c r="F193" s="14" t="e">
        <f t="shared" si="81"/>
        <v>#REF!</v>
      </c>
      <c r="G193" s="14" t="e">
        <f t="shared" si="81"/>
        <v>#REF!</v>
      </c>
      <c r="H193" s="14" t="e">
        <f t="shared" si="81"/>
        <v>#REF!</v>
      </c>
      <c r="I193" s="14" t="e">
        <f t="shared" si="81"/>
        <v>#REF!</v>
      </c>
      <c r="J193" s="14" t="e">
        <f t="shared" si="81"/>
        <v>#REF!</v>
      </c>
      <c r="K193" s="14" t="e">
        <f t="shared" si="81"/>
        <v>#REF!</v>
      </c>
      <c r="L193" s="14" t="e">
        <f t="shared" si="81"/>
        <v>#REF!</v>
      </c>
    </row>
    <row r="194" spans="4:12" x14ac:dyDescent="0.3">
      <c r="D194" s="45" t="s">
        <v>81</v>
      </c>
      <c r="E194" s="72" t="e">
        <f t="shared" ref="E194:L194" si="82">-(E193/E182)*365</f>
        <v>#REF!</v>
      </c>
      <c r="F194" s="72" t="e">
        <f t="shared" si="82"/>
        <v>#REF!</v>
      </c>
      <c r="G194" s="72" t="e">
        <f t="shared" si="82"/>
        <v>#REF!</v>
      </c>
      <c r="H194" s="72" t="e">
        <f t="shared" si="82"/>
        <v>#REF!</v>
      </c>
      <c r="I194" s="72" t="e">
        <f t="shared" si="82"/>
        <v>#REF!</v>
      </c>
      <c r="J194" s="72" t="e">
        <f t="shared" si="82"/>
        <v>#REF!</v>
      </c>
      <c r="K194" s="72" t="e">
        <f t="shared" si="82"/>
        <v>#REF!</v>
      </c>
      <c r="L194" s="72" t="e">
        <f t="shared" si="82"/>
        <v>#REF!</v>
      </c>
    </row>
    <row r="195" spans="4:12" ht="4.95" customHeight="1" x14ac:dyDescent="0.3"/>
    <row r="196" spans="4:12" ht="16.05" customHeight="1" x14ac:dyDescent="0.3">
      <c r="D196" s="23" t="s">
        <v>85</v>
      </c>
      <c r="E196" s="26" t="e">
        <f t="shared" ref="E196:L196" si="83">E214*E182</f>
        <v>#REF!</v>
      </c>
      <c r="F196" s="26" t="e">
        <f t="shared" si="83"/>
        <v>#REF!</v>
      </c>
      <c r="G196" s="26" t="e">
        <f t="shared" si="83"/>
        <v>#REF!</v>
      </c>
      <c r="H196" s="26" t="e">
        <f t="shared" si="83"/>
        <v>#REF!</v>
      </c>
      <c r="I196" s="26" t="e">
        <f t="shared" si="83"/>
        <v>#REF!</v>
      </c>
      <c r="J196" s="26" t="e">
        <f t="shared" si="83"/>
        <v>#REF!</v>
      </c>
      <c r="K196" s="26" t="e">
        <f t="shared" si="83"/>
        <v>#REF!</v>
      </c>
      <c r="L196" s="26" t="e">
        <f t="shared" si="83"/>
        <v>#REF!</v>
      </c>
    </row>
    <row r="197" spans="4:12" ht="16.05" customHeight="1" x14ac:dyDescent="0.3">
      <c r="D197" s="45" t="s">
        <v>86</v>
      </c>
      <c r="E197" s="72" t="e">
        <f t="shared" ref="E197:L197" si="84">-(E196/E182)*365</f>
        <v>#REF!</v>
      </c>
      <c r="F197" s="72" t="e">
        <f t="shared" si="84"/>
        <v>#REF!</v>
      </c>
      <c r="G197" s="72" t="e">
        <f t="shared" si="84"/>
        <v>#REF!</v>
      </c>
      <c r="H197" s="72" t="e">
        <f t="shared" si="84"/>
        <v>#REF!</v>
      </c>
      <c r="I197" s="72" t="e">
        <f t="shared" si="84"/>
        <v>#REF!</v>
      </c>
      <c r="J197" s="72" t="e">
        <f t="shared" si="84"/>
        <v>#REF!</v>
      </c>
      <c r="K197" s="72" t="e">
        <f t="shared" si="84"/>
        <v>#REF!</v>
      </c>
      <c r="L197" s="72" t="e">
        <f t="shared" si="84"/>
        <v>#REF!</v>
      </c>
    </row>
    <row r="198" spans="4:12" ht="4.95" customHeight="1" x14ac:dyDescent="0.3"/>
    <row r="199" spans="4:12" ht="16.05" customHeight="1" thickBot="1" x14ac:dyDescent="0.35">
      <c r="D199" s="41" t="s">
        <v>75</v>
      </c>
      <c r="E199" s="77" t="e">
        <f>E184+E187+E190+E193+E196</f>
        <v>#REF!</v>
      </c>
      <c r="F199" s="77" t="e">
        <f t="shared" ref="F199:L199" si="85">F184+F187+F190+F193+F196</f>
        <v>#REF!</v>
      </c>
      <c r="G199" s="77" t="e">
        <f t="shared" si="85"/>
        <v>#REF!</v>
      </c>
      <c r="H199" s="77" t="e">
        <f t="shared" si="85"/>
        <v>#REF!</v>
      </c>
      <c r="I199" s="77" t="e">
        <f t="shared" si="85"/>
        <v>#REF!</v>
      </c>
      <c r="J199" s="77" t="e">
        <f t="shared" si="85"/>
        <v>#REF!</v>
      </c>
      <c r="K199" s="77" t="e">
        <f t="shared" si="85"/>
        <v>#REF!</v>
      </c>
      <c r="L199" s="77" t="e">
        <f t="shared" si="85"/>
        <v>#REF!</v>
      </c>
    </row>
    <row r="200" spans="4:12" ht="16.05" customHeight="1" x14ac:dyDescent="0.3"/>
    <row r="201" spans="4:12" ht="16.05" customHeight="1" x14ac:dyDescent="0.3"/>
    <row r="202" spans="4:12" ht="16.05" customHeight="1" x14ac:dyDescent="0.3">
      <c r="D202" s="3" t="s">
        <v>7</v>
      </c>
    </row>
    <row r="203" spans="4:12" ht="16.05" customHeight="1" thickBot="1" x14ac:dyDescent="0.35">
      <c r="D203" s="4" t="s">
        <v>97</v>
      </c>
      <c r="E203" s="4">
        <v>2019</v>
      </c>
      <c r="F203" s="4">
        <v>2020</v>
      </c>
      <c r="G203" s="9" t="s">
        <v>2</v>
      </c>
      <c r="H203" s="9" t="s">
        <v>3</v>
      </c>
      <c r="I203" s="9" t="s">
        <v>4</v>
      </c>
      <c r="J203" s="9" t="s">
        <v>5</v>
      </c>
      <c r="K203" s="9" t="s">
        <v>24</v>
      </c>
      <c r="L203" s="9" t="s">
        <v>25</v>
      </c>
    </row>
    <row r="204" spans="4:12" x14ac:dyDescent="0.3">
      <c r="D204" s="1" t="s">
        <v>75</v>
      </c>
      <c r="E204" s="14" t="e">
        <f t="shared" ref="E204:L204" si="86">E166</f>
        <v>#REF!</v>
      </c>
      <c r="F204" s="14" t="e">
        <f t="shared" si="86"/>
        <v>#REF!</v>
      </c>
      <c r="G204" s="14" t="e">
        <f t="shared" si="86"/>
        <v>#REF!</v>
      </c>
      <c r="H204" s="14" t="e">
        <f t="shared" si="86"/>
        <v>#REF!</v>
      </c>
      <c r="I204" s="14" t="e">
        <f t="shared" si="86"/>
        <v>#REF!</v>
      </c>
      <c r="J204" s="14" t="e">
        <f t="shared" si="86"/>
        <v>#REF!</v>
      </c>
      <c r="K204" s="14" t="e">
        <f t="shared" si="86"/>
        <v>#REF!</v>
      </c>
      <c r="L204" s="14" t="e">
        <f t="shared" si="86"/>
        <v>#REF!</v>
      </c>
    </row>
    <row r="205" spans="4:12" x14ac:dyDescent="0.3">
      <c r="D205" s="1" t="s">
        <v>87</v>
      </c>
      <c r="E205" s="13" t="e">
        <f t="shared" ref="E205:L205" si="87">E204/E182</f>
        <v>#REF!</v>
      </c>
      <c r="F205" s="13" t="e">
        <f t="shared" si="87"/>
        <v>#REF!</v>
      </c>
      <c r="G205" s="13" t="e">
        <f t="shared" si="87"/>
        <v>#REF!</v>
      </c>
      <c r="H205" s="13" t="e">
        <f t="shared" si="87"/>
        <v>#REF!</v>
      </c>
      <c r="I205" s="13" t="e">
        <f t="shared" si="87"/>
        <v>#REF!</v>
      </c>
      <c r="J205" s="13" t="e">
        <f t="shared" si="87"/>
        <v>#REF!</v>
      </c>
      <c r="K205" s="13" t="e">
        <f t="shared" si="87"/>
        <v>#REF!</v>
      </c>
      <c r="L205" s="13" t="e">
        <f t="shared" si="87"/>
        <v>#REF!</v>
      </c>
    </row>
    <row r="206" spans="4:12" ht="16.2" thickBot="1" x14ac:dyDescent="0.35">
      <c r="D206" s="36" t="s">
        <v>82</v>
      </c>
      <c r="E206" s="73" t="e">
        <f>E205*365</f>
        <v>#REF!</v>
      </c>
      <c r="F206" s="73" t="e">
        <f t="shared" ref="F206:L206" si="88">F205*365</f>
        <v>#REF!</v>
      </c>
      <c r="G206" s="73" t="e">
        <f t="shared" si="88"/>
        <v>#REF!</v>
      </c>
      <c r="H206" s="73" t="e">
        <f t="shared" si="88"/>
        <v>#REF!</v>
      </c>
      <c r="I206" s="73" t="e">
        <f t="shared" si="88"/>
        <v>#REF!</v>
      </c>
      <c r="J206" s="73" t="e">
        <f t="shared" si="88"/>
        <v>#REF!</v>
      </c>
      <c r="K206" s="73" t="e">
        <f t="shared" si="88"/>
        <v>#REF!</v>
      </c>
      <c r="L206" s="73" t="e">
        <f t="shared" si="88"/>
        <v>#REF!</v>
      </c>
    </row>
    <row r="207" spans="4:12" x14ac:dyDescent="0.3">
      <c r="E207" s="14"/>
      <c r="F207" s="14"/>
      <c r="G207" s="14"/>
      <c r="H207" s="14"/>
      <c r="I207" s="14"/>
      <c r="J207" s="14"/>
      <c r="K207" s="14"/>
      <c r="L207" s="14"/>
    </row>
    <row r="208" spans="4:12" x14ac:dyDescent="0.3">
      <c r="E208" s="14"/>
      <c r="F208" s="14"/>
      <c r="G208" s="14"/>
      <c r="H208" s="14"/>
      <c r="I208" s="14"/>
      <c r="J208" s="14"/>
      <c r="K208" s="14"/>
      <c r="L208" s="14"/>
    </row>
    <row r="209" spans="4:17" ht="16.2" thickBot="1" x14ac:dyDescent="0.35">
      <c r="D209" s="41" t="s">
        <v>34</v>
      </c>
      <c r="E209" s="41">
        <v>2019</v>
      </c>
      <c r="F209" s="41">
        <v>2020</v>
      </c>
      <c r="G209" s="43" t="s">
        <v>2</v>
      </c>
      <c r="H209" s="43" t="s">
        <v>3</v>
      </c>
      <c r="I209" s="43" t="s">
        <v>4</v>
      </c>
      <c r="J209" s="43" t="s">
        <v>5</v>
      </c>
      <c r="K209" s="43" t="s">
        <v>24</v>
      </c>
      <c r="L209" s="43" t="s">
        <v>25</v>
      </c>
    </row>
    <row r="210" spans="4:17" x14ac:dyDescent="0.3">
      <c r="D210" s="55" t="s">
        <v>139</v>
      </c>
      <c r="E210" s="56">
        <v>0.17</v>
      </c>
      <c r="F210" s="56">
        <v>0.17</v>
      </c>
      <c r="G210" s="56">
        <f t="shared" ref="G210:L211" si="89">F210-0.125%</f>
        <v>0.16875000000000001</v>
      </c>
      <c r="H210" s="56">
        <f t="shared" si="89"/>
        <v>0.16750000000000001</v>
      </c>
      <c r="I210" s="56">
        <f t="shared" si="89"/>
        <v>0.16625000000000001</v>
      </c>
      <c r="J210" s="56">
        <f t="shared" si="89"/>
        <v>0.16500000000000001</v>
      </c>
      <c r="K210" s="56">
        <f t="shared" si="89"/>
        <v>0.16375000000000001</v>
      </c>
      <c r="L210" s="56">
        <f t="shared" si="89"/>
        <v>0.16250000000000001</v>
      </c>
      <c r="P210" s="91"/>
      <c r="Q210" s="54"/>
    </row>
    <row r="211" spans="4:17" x14ac:dyDescent="0.3">
      <c r="D211" s="23" t="s">
        <v>140</v>
      </c>
      <c r="E211" s="47">
        <v>0.15</v>
      </c>
      <c r="F211" s="47">
        <v>0.15</v>
      </c>
      <c r="G211" s="47">
        <f t="shared" si="89"/>
        <v>0.14874999999999999</v>
      </c>
      <c r="H211" s="47">
        <f t="shared" si="89"/>
        <v>0.14749999999999999</v>
      </c>
      <c r="I211" s="47">
        <f t="shared" si="89"/>
        <v>0.14624999999999999</v>
      </c>
      <c r="J211" s="47">
        <f t="shared" si="89"/>
        <v>0.14499999999999999</v>
      </c>
      <c r="K211" s="47">
        <f t="shared" si="89"/>
        <v>0.14374999999999999</v>
      </c>
      <c r="L211" s="47">
        <f t="shared" si="89"/>
        <v>0.14249999999999999</v>
      </c>
      <c r="P211" s="91"/>
    </row>
    <row r="212" spans="4:17" x14ac:dyDescent="0.3">
      <c r="D212" s="23" t="s">
        <v>141</v>
      </c>
      <c r="E212" s="47">
        <v>0.02</v>
      </c>
      <c r="F212" s="47">
        <v>0.02</v>
      </c>
      <c r="G212" s="47">
        <v>0.02</v>
      </c>
      <c r="H212" s="47">
        <v>0.02</v>
      </c>
      <c r="I212" s="47">
        <v>0.02</v>
      </c>
      <c r="J212" s="47">
        <v>0.02</v>
      </c>
      <c r="K212" s="47">
        <v>0.02</v>
      </c>
      <c r="L212" s="47">
        <v>0.02</v>
      </c>
      <c r="P212" s="91"/>
    </row>
    <row r="213" spans="4:17" x14ac:dyDescent="0.3">
      <c r="D213" s="23" t="s">
        <v>142</v>
      </c>
      <c r="E213" s="47">
        <v>-0.11</v>
      </c>
      <c r="F213" s="47">
        <v>-0.11</v>
      </c>
      <c r="G213" s="47">
        <v>-0.11</v>
      </c>
      <c r="H213" s="47">
        <v>-0.11</v>
      </c>
      <c r="I213" s="47">
        <v>-0.11</v>
      </c>
      <c r="J213" s="47">
        <v>-0.11</v>
      </c>
      <c r="K213" s="47">
        <v>-0.11</v>
      </c>
      <c r="L213" s="47">
        <v>-0.11</v>
      </c>
      <c r="P213" s="91"/>
    </row>
    <row r="214" spans="4:17" ht="16.2" thickBot="1" x14ac:dyDescent="0.35">
      <c r="D214" s="17" t="s">
        <v>143</v>
      </c>
      <c r="E214" s="58">
        <v>-0.08</v>
      </c>
      <c r="F214" s="58">
        <v>-0.08</v>
      </c>
      <c r="G214" s="58">
        <v>-0.08</v>
      </c>
      <c r="H214" s="58">
        <v>-0.08</v>
      </c>
      <c r="I214" s="58">
        <v>-0.08</v>
      </c>
      <c r="J214" s="58">
        <v>-0.08</v>
      </c>
      <c r="K214" s="58">
        <v>-0.08</v>
      </c>
      <c r="L214" s="58">
        <v>-0.08</v>
      </c>
      <c r="P214" s="91"/>
    </row>
    <row r="215" spans="4:17" x14ac:dyDescent="0.3">
      <c r="E215" s="70"/>
      <c r="F215" s="70"/>
      <c r="G215" s="70"/>
      <c r="H215" s="70"/>
      <c r="I215" s="70"/>
      <c r="J215" s="70"/>
      <c r="K215" s="70"/>
      <c r="L215" s="70"/>
    </row>
    <row r="218" spans="4:17" x14ac:dyDescent="0.3">
      <c r="E218" s="1" t="s">
        <v>119</v>
      </c>
      <c r="N218" s="1" t="s">
        <v>134</v>
      </c>
      <c r="O218" s="1" t="s">
        <v>132</v>
      </c>
    </row>
    <row r="219" spans="4:17" x14ac:dyDescent="0.3">
      <c r="E219" s="1" t="s">
        <v>120</v>
      </c>
      <c r="O219" s="1" t="s">
        <v>133</v>
      </c>
    </row>
    <row r="220" spans="4:17" x14ac:dyDescent="0.3">
      <c r="E220" s="1" t="s">
        <v>121</v>
      </c>
    </row>
    <row r="221" spans="4:17" x14ac:dyDescent="0.3">
      <c r="E221" s="1" t="s">
        <v>122</v>
      </c>
      <c r="N221" s="1" t="s">
        <v>137</v>
      </c>
      <c r="O221" s="1" t="s">
        <v>135</v>
      </c>
    </row>
    <row r="222" spans="4:17" x14ac:dyDescent="0.3">
      <c r="E222" s="1" t="s">
        <v>123</v>
      </c>
      <c r="N222" s="1" t="s">
        <v>137</v>
      </c>
      <c r="O222" s="1" t="s">
        <v>136</v>
      </c>
    </row>
    <row r="223" spans="4:17" x14ac:dyDescent="0.3">
      <c r="E223" s="1" t="s">
        <v>124</v>
      </c>
      <c r="G223" s="1" t="s">
        <v>127</v>
      </c>
      <c r="H223" s="1" t="s">
        <v>129</v>
      </c>
      <c r="N223" s="1" t="s">
        <v>138</v>
      </c>
    </row>
    <row r="224" spans="4:17" x14ac:dyDescent="0.3">
      <c r="E224" s="1" t="s">
        <v>125</v>
      </c>
      <c r="H224" s="1" t="s">
        <v>128</v>
      </c>
    </row>
    <row r="225" spans="5:8" x14ac:dyDescent="0.3">
      <c r="E225" s="1" t="s">
        <v>126</v>
      </c>
      <c r="H225" s="1" t="s">
        <v>130</v>
      </c>
    </row>
    <row r="226" spans="5:8" x14ac:dyDescent="0.3">
      <c r="E226" s="1" t="s">
        <v>131</v>
      </c>
    </row>
  </sheetData>
  <pageMargins left="0.7" right="0.7" top="0.75" bottom="0.75" header="0.3" footer="0.3"/>
  <ignoredErrors>
    <ignoredError sqref="E119 E123:E127 E121:E1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C251-FFC1-9F45-9DC3-EE77F8BD87ED}">
  <dimension ref="A2:T160"/>
  <sheetViews>
    <sheetView showGridLines="0" topLeftCell="A4" zoomScale="75" zoomScaleNormal="90" workbookViewId="0">
      <selection activeCell="N18" sqref="N18"/>
    </sheetView>
  </sheetViews>
  <sheetFormatPr baseColWidth="10" defaultColWidth="10.796875" defaultRowHeight="15.6" x14ac:dyDescent="0.3"/>
  <cols>
    <col min="1" max="3" width="5.796875" style="1" customWidth="1"/>
    <col min="4" max="4" width="54.296875" style="1" bestFit="1" customWidth="1"/>
    <col min="5" max="5" width="10.796875" style="1" customWidth="1"/>
    <col min="6" max="6" width="12.796875" style="1" bestFit="1" customWidth="1"/>
    <col min="7" max="8" width="13.5" style="1" bestFit="1" customWidth="1"/>
    <col min="9" max="9" width="11.796875" style="1" bestFit="1" customWidth="1"/>
    <col min="10" max="12" width="10.796875" style="1"/>
    <col min="13" max="19" width="12.69921875" style="1" bestFit="1" customWidth="1"/>
    <col min="20" max="16384" width="10.796875" style="1"/>
  </cols>
  <sheetData>
    <row r="2" spans="1:14" s="21" customFormat="1" x14ac:dyDescent="0.3">
      <c r="A2" s="1"/>
      <c r="B2" s="19" t="s">
        <v>184</v>
      </c>
      <c r="C2" s="1"/>
      <c r="D2" s="20" t="s">
        <v>0</v>
      </c>
      <c r="E2" s="20"/>
    </row>
    <row r="4" spans="1:14" x14ac:dyDescent="0.3">
      <c r="D4" s="3" t="s">
        <v>7</v>
      </c>
      <c r="E4" s="3"/>
      <c r="F4" s="3"/>
    </row>
    <row r="5" spans="1:14" ht="16.2" thickBot="1" x14ac:dyDescent="0.35">
      <c r="D5" s="4"/>
      <c r="E5" s="4">
        <v>2019</v>
      </c>
      <c r="F5" s="4">
        <v>2020</v>
      </c>
      <c r="G5" s="9" t="s">
        <v>2</v>
      </c>
      <c r="H5" s="9" t="s">
        <v>3</v>
      </c>
      <c r="I5" s="9" t="s">
        <v>4</v>
      </c>
      <c r="J5" s="9" t="s">
        <v>5</v>
      </c>
      <c r="K5" s="9" t="s">
        <v>24</v>
      </c>
      <c r="L5" s="9" t="s">
        <v>25</v>
      </c>
      <c r="N5" s="50"/>
    </row>
    <row r="6" spans="1:14" ht="7.95" customHeight="1" x14ac:dyDescent="0.3">
      <c r="G6" s="10"/>
      <c r="H6" s="10"/>
      <c r="I6" s="10"/>
      <c r="J6" s="10"/>
      <c r="K6" s="10"/>
      <c r="L6" s="10"/>
    </row>
    <row r="7" spans="1:14" x14ac:dyDescent="0.3">
      <c r="D7" s="1" t="s">
        <v>55</v>
      </c>
      <c r="E7" s="11">
        <v>35.700000000000003</v>
      </c>
      <c r="F7" s="11">
        <f t="shared" ref="F7:L7" si="0">E7*(1+F8)</f>
        <v>29.631</v>
      </c>
      <c r="G7" s="11">
        <f t="shared" si="0"/>
        <v>32.594100000000005</v>
      </c>
      <c r="H7" s="11">
        <f t="shared" si="0"/>
        <v>35.853510000000007</v>
      </c>
      <c r="I7" s="11">
        <f t="shared" si="0"/>
        <v>38.721790800000008</v>
      </c>
      <c r="J7" s="11">
        <f t="shared" si="0"/>
        <v>41.432316156000013</v>
      </c>
      <c r="K7" s="11">
        <f t="shared" si="0"/>
        <v>44.332578286920018</v>
      </c>
      <c r="L7" s="11">
        <f t="shared" si="0"/>
        <v>46.992532984135224</v>
      </c>
      <c r="N7" s="50"/>
    </row>
    <row r="8" spans="1:14" x14ac:dyDescent="0.3">
      <c r="D8" s="2" t="s">
        <v>8</v>
      </c>
      <c r="E8" s="48"/>
      <c r="F8" s="112">
        <v>-0.17</v>
      </c>
      <c r="G8" s="113">
        <v>0.1</v>
      </c>
      <c r="H8" s="114">
        <v>0.1</v>
      </c>
      <c r="I8" s="114">
        <v>0.08</v>
      </c>
      <c r="J8" s="114">
        <v>7.0000000000000007E-2</v>
      </c>
      <c r="K8" s="114">
        <v>7.0000000000000007E-2</v>
      </c>
      <c r="L8" s="114">
        <v>0.06</v>
      </c>
    </row>
    <row r="9" spans="1:14" x14ac:dyDescent="0.3">
      <c r="D9" s="1" t="s">
        <v>18</v>
      </c>
      <c r="E9" s="11">
        <v>4.21</v>
      </c>
      <c r="F9" s="11">
        <f t="shared" ref="F9:L9" si="1">E9*(1+F10)</f>
        <v>3.9994999999999998</v>
      </c>
      <c r="G9" s="104">
        <f t="shared" si="1"/>
        <v>4.0994874999999995</v>
      </c>
      <c r="H9" s="104">
        <f t="shared" si="1"/>
        <v>4.201974687499999</v>
      </c>
      <c r="I9" s="104">
        <f t="shared" si="1"/>
        <v>4.2965191179687485</v>
      </c>
      <c r="J9" s="104">
        <f t="shared" si="1"/>
        <v>4.3931907981230456</v>
      </c>
      <c r="K9" s="104">
        <f t="shared" si="1"/>
        <v>4.4810546140855063</v>
      </c>
      <c r="L9" s="104">
        <f t="shared" si="1"/>
        <v>4.5706757063672168</v>
      </c>
    </row>
    <row r="10" spans="1:14" x14ac:dyDescent="0.3">
      <c r="D10" s="2" t="s">
        <v>8</v>
      </c>
      <c r="E10" s="49"/>
      <c r="F10" s="115">
        <v>-0.05</v>
      </c>
      <c r="G10" s="114">
        <v>2.5000000000000001E-2</v>
      </c>
      <c r="H10" s="114">
        <v>2.5000000000000001E-2</v>
      </c>
      <c r="I10" s="114">
        <v>2.2499999999999999E-2</v>
      </c>
      <c r="J10" s="114">
        <v>2.2499999999999999E-2</v>
      </c>
      <c r="K10" s="114">
        <v>0.02</v>
      </c>
      <c r="L10" s="114">
        <v>0.02</v>
      </c>
    </row>
    <row r="11" spans="1:14" x14ac:dyDescent="0.3">
      <c r="D11" s="1" t="s">
        <v>19</v>
      </c>
      <c r="E11" s="11">
        <v>2.5299999999999998</v>
      </c>
      <c r="F11" s="11">
        <f t="shared" ref="F11:L11" si="2">E11*(1+F12)</f>
        <v>2.6256339999999998</v>
      </c>
      <c r="G11" s="104">
        <f t="shared" si="2"/>
        <v>2.5731213199999998</v>
      </c>
      <c r="H11" s="104">
        <f t="shared" si="2"/>
        <v>2.5216588935999997</v>
      </c>
      <c r="I11" s="104">
        <f t="shared" si="2"/>
        <v>2.4838340101959999</v>
      </c>
      <c r="J11" s="104">
        <f t="shared" si="2"/>
        <v>2.4465765000430597</v>
      </c>
      <c r="K11" s="104">
        <f t="shared" si="2"/>
        <v>2.422110735042629</v>
      </c>
      <c r="L11" s="104">
        <f t="shared" si="2"/>
        <v>2.3978896276922028</v>
      </c>
    </row>
    <row r="12" spans="1:14" x14ac:dyDescent="0.3">
      <c r="D12" s="2" t="s">
        <v>8</v>
      </c>
      <c r="E12" s="49"/>
      <c r="F12" s="115">
        <v>3.78E-2</v>
      </c>
      <c r="G12" s="114">
        <v>-0.02</v>
      </c>
      <c r="H12" s="114">
        <v>-0.02</v>
      </c>
      <c r="I12" s="114">
        <v>-1.4999999999999999E-2</v>
      </c>
      <c r="J12" s="114">
        <v>-1.4999999999999999E-2</v>
      </c>
      <c r="K12" s="114">
        <v>-0.01</v>
      </c>
      <c r="L12" s="114">
        <v>-0.01</v>
      </c>
    </row>
    <row r="13" spans="1:14" x14ac:dyDescent="0.3">
      <c r="G13" s="105"/>
      <c r="H13" s="105"/>
      <c r="I13" s="105"/>
      <c r="J13" s="105"/>
      <c r="K13" s="105"/>
      <c r="L13" s="105"/>
    </row>
    <row r="14" spans="1:14" ht="16.2" thickBot="1" x14ac:dyDescent="0.35">
      <c r="D14" s="4" t="s">
        <v>20</v>
      </c>
      <c r="E14" s="4">
        <v>2019</v>
      </c>
      <c r="F14" s="4">
        <v>2020</v>
      </c>
      <c r="G14" s="106" t="s">
        <v>2</v>
      </c>
      <c r="H14" s="106" t="s">
        <v>3</v>
      </c>
      <c r="I14" s="106" t="s">
        <v>4</v>
      </c>
      <c r="J14" s="106" t="s">
        <v>5</v>
      </c>
      <c r="K14" s="106" t="s">
        <v>24</v>
      </c>
      <c r="L14" s="106" t="s">
        <v>25</v>
      </c>
    </row>
    <row r="15" spans="1:14" ht="7.95" customHeight="1" x14ac:dyDescent="0.3">
      <c r="G15" s="22"/>
      <c r="H15" s="22"/>
      <c r="I15" s="22"/>
      <c r="J15" s="22"/>
      <c r="K15" s="22"/>
      <c r="L15" s="22"/>
    </row>
    <row r="16" spans="1:14" x14ac:dyDescent="0.3">
      <c r="D16" s="3" t="s">
        <v>9</v>
      </c>
      <c r="E16" s="12">
        <f t="shared" ref="E16:L16" si="3">E7*E9</f>
        <v>150.297</v>
      </c>
      <c r="F16" s="12">
        <f t="shared" si="3"/>
        <v>118.50918449999999</v>
      </c>
      <c r="G16" s="107">
        <f t="shared" si="3"/>
        <v>133.61910552374999</v>
      </c>
      <c r="H16" s="107">
        <f t="shared" si="3"/>
        <v>150.65554147802811</v>
      </c>
      <c r="I16" s="107">
        <f t="shared" si="3"/>
        <v>166.36891445418644</v>
      </c>
      <c r="J16" s="107">
        <f t="shared" si="3"/>
        <v>182.02007008146404</v>
      </c>
      <c r="K16" s="107">
        <f t="shared" si="3"/>
        <v>198.65670448690989</v>
      </c>
      <c r="L16" s="107">
        <f t="shared" si="3"/>
        <v>214.78762889124701</v>
      </c>
    </row>
    <row r="17" spans="4:19" x14ac:dyDescent="0.3">
      <c r="D17" s="120" t="s">
        <v>8</v>
      </c>
      <c r="E17" s="121"/>
      <c r="F17" s="122">
        <f t="shared" ref="F17:L17" si="4">(F16/E16)-1</f>
        <v>-0.21150000000000002</v>
      </c>
      <c r="G17" s="122">
        <f t="shared" si="4"/>
        <v>0.12749999999999995</v>
      </c>
      <c r="H17" s="122">
        <f t="shared" si="4"/>
        <v>0.12749999999999995</v>
      </c>
      <c r="I17" s="122">
        <f t="shared" si="4"/>
        <v>0.10430000000000006</v>
      </c>
      <c r="J17" s="122">
        <f t="shared" si="4"/>
        <v>9.4075000000000131E-2</v>
      </c>
      <c r="K17" s="122">
        <f t="shared" si="4"/>
        <v>9.1400000000000148E-2</v>
      </c>
      <c r="L17" s="122">
        <f t="shared" si="4"/>
        <v>8.1200000000000161E-2</v>
      </c>
    </row>
    <row r="18" spans="4:19" x14ac:dyDescent="0.3">
      <c r="D18" s="1" t="s">
        <v>10</v>
      </c>
      <c r="E18" s="14">
        <f>-E7*E11</f>
        <v>-90.320999999999998</v>
      </c>
      <c r="F18" s="14">
        <f>-F7*F11</f>
        <v>-77.800161054</v>
      </c>
      <c r="G18" s="14">
        <f t="shared" ref="G18:L18" si="5">-G7*G11</f>
        <v>-83.868573616212004</v>
      </c>
      <c r="H18" s="14">
        <f t="shared" si="5"/>
        <v>-90.410322358276545</v>
      </c>
      <c r="I18" s="14">
        <f t="shared" si="5"/>
        <v>-96.178500924734593</v>
      </c>
      <c r="J18" s="14">
        <f t="shared" si="5"/>
        <v>-101.36733104962403</v>
      </c>
      <c r="K18" s="14">
        <f t="shared" si="5"/>
        <v>-107.37841378086674</v>
      </c>
      <c r="L18" s="14">
        <f t="shared" si="5"/>
        <v>-112.68290742164157</v>
      </c>
    </row>
    <row r="19" spans="4:19" x14ac:dyDescent="0.3">
      <c r="D19" s="7" t="s">
        <v>11</v>
      </c>
      <c r="E19" s="117">
        <f>-E18/E16</f>
        <v>0.60095011876484561</v>
      </c>
      <c r="F19" s="117">
        <f>-F18/F16</f>
        <v>0.65649056132016503</v>
      </c>
      <c r="G19" s="117">
        <f t="shared" ref="G19:L19" si="6">-G18/G16</f>
        <v>0.6276690244817188</v>
      </c>
      <c r="H19" s="117">
        <f t="shared" si="6"/>
        <v>0.60011282340691174</v>
      </c>
      <c r="I19" s="117">
        <f t="shared" si="6"/>
        <v>0.57810379565360204</v>
      </c>
      <c r="J19" s="117">
        <f t="shared" si="6"/>
        <v>0.55690194495725964</v>
      </c>
      <c r="K19" s="117">
        <f t="shared" si="6"/>
        <v>0.54052247598792835</v>
      </c>
      <c r="L19" s="117">
        <f t="shared" si="6"/>
        <v>0.52462475610593051</v>
      </c>
    </row>
    <row r="20" spans="4:19" x14ac:dyDescent="0.3">
      <c r="D20" s="3" t="s">
        <v>12</v>
      </c>
      <c r="E20" s="12">
        <f>E16+E18</f>
        <v>59.975999999999999</v>
      </c>
      <c r="F20" s="12">
        <f>F16+F18</f>
        <v>40.709023445999989</v>
      </c>
      <c r="G20" s="12">
        <f t="shared" ref="G20:L20" si="7">G16+G18</f>
        <v>49.75053190753799</v>
      </c>
      <c r="H20" s="12">
        <f t="shared" si="7"/>
        <v>60.245219119751567</v>
      </c>
      <c r="I20" s="12">
        <f t="shared" si="7"/>
        <v>70.190413529451845</v>
      </c>
      <c r="J20" s="12">
        <f t="shared" si="7"/>
        <v>80.652739031840014</v>
      </c>
      <c r="K20" s="12">
        <f t="shared" si="7"/>
        <v>91.278290706043151</v>
      </c>
      <c r="L20" s="12">
        <f t="shared" si="7"/>
        <v>102.10472146960544</v>
      </c>
    </row>
    <row r="21" spans="4:19" x14ac:dyDescent="0.3">
      <c r="D21" s="23" t="s">
        <v>59</v>
      </c>
      <c r="E21" s="26">
        <v>-19.538610000000002</v>
      </c>
      <c r="F21" s="103">
        <v>-19.909542995999999</v>
      </c>
      <c r="G21" s="103">
        <v>-20.209889710467188</v>
      </c>
      <c r="H21" s="26">
        <v>-21.15203802351515</v>
      </c>
      <c r="I21" s="26">
        <v>-22.043881165179705</v>
      </c>
      <c r="J21" s="26">
        <v>-23.662609110590328</v>
      </c>
      <c r="K21" s="26">
        <v>-25.328729822081012</v>
      </c>
      <c r="L21" s="26">
        <v>-26.848453611405876</v>
      </c>
    </row>
    <row r="22" spans="4:19" x14ac:dyDescent="0.3">
      <c r="D22" s="23" t="s">
        <v>57</v>
      </c>
      <c r="E22" s="26">
        <v>-13.025740000000001</v>
      </c>
      <c r="F22" s="103">
        <v>-7.7425999433914283</v>
      </c>
      <c r="G22" s="103">
        <v>-8.5738924819564453</v>
      </c>
      <c r="H22" s="26">
        <v>-13.558998733022532</v>
      </c>
      <c r="I22" s="26">
        <v>-14.695920776786471</v>
      </c>
      <c r="J22" s="26">
        <v>-15.775072740393552</v>
      </c>
      <c r="K22" s="26">
        <v>-16.885819881387341</v>
      </c>
      <c r="L22" s="26">
        <v>-17.898969074270585</v>
      </c>
    </row>
    <row r="23" spans="4:19" x14ac:dyDescent="0.3">
      <c r="D23" s="5" t="s">
        <v>56</v>
      </c>
      <c r="E23" s="16">
        <v>-6.5128700000000004</v>
      </c>
      <c r="F23" s="16">
        <v>-5.5304286100000004</v>
      </c>
      <c r="G23" s="16">
        <v>-6.1242090031718748</v>
      </c>
      <c r="H23" s="16">
        <v>-6.7794993665112662</v>
      </c>
      <c r="I23" s="16">
        <v>-7.3479603883932354</v>
      </c>
      <c r="J23" s="16">
        <v>-7.8875363701967762</v>
      </c>
      <c r="K23" s="16">
        <v>-8.4429099406936707</v>
      </c>
      <c r="L23" s="16">
        <v>-8.9494845371352927</v>
      </c>
    </row>
    <row r="24" spans="4:19" x14ac:dyDescent="0.3">
      <c r="D24" s="30" t="s">
        <v>14</v>
      </c>
      <c r="E24" s="31">
        <f>E20+SUM(E21:E23)</f>
        <v>20.898779999999995</v>
      </c>
      <c r="F24" s="31">
        <f>F20+SUM(F21:F23)</f>
        <v>7.5264518966085632</v>
      </c>
      <c r="G24" s="31">
        <f t="shared" ref="G24:L24" si="8">G20+SUM(G21:G23)</f>
        <v>14.842540711942483</v>
      </c>
      <c r="H24" s="31">
        <f t="shared" si="8"/>
        <v>18.75468299670262</v>
      </c>
      <c r="I24" s="31">
        <f t="shared" si="8"/>
        <v>26.102651199092435</v>
      </c>
      <c r="J24" s="31">
        <f t="shared" si="8"/>
        <v>33.327520810659358</v>
      </c>
      <c r="K24" s="31">
        <f t="shared" si="8"/>
        <v>40.620831061881134</v>
      </c>
      <c r="L24" s="31">
        <f t="shared" si="8"/>
        <v>48.407814246793684</v>
      </c>
      <c r="M24" s="64"/>
      <c r="N24" s="64"/>
      <c r="O24" s="64"/>
      <c r="P24" s="64"/>
      <c r="Q24" s="64"/>
      <c r="R24" s="64"/>
    </row>
    <row r="25" spans="4:19" x14ac:dyDescent="0.3">
      <c r="D25" s="32" t="s">
        <v>15</v>
      </c>
      <c r="E25" s="118">
        <f t="shared" ref="E25:L25" si="9">E24/E16</f>
        <v>0.13904988123515435</v>
      </c>
      <c r="F25" s="118">
        <f t="shared" si="9"/>
        <v>6.3509439613168239E-2</v>
      </c>
      <c r="G25" s="118">
        <f t="shared" si="9"/>
        <v>0.11108097643494785</v>
      </c>
      <c r="H25" s="118">
        <f t="shared" si="9"/>
        <v>0.12448717659308826</v>
      </c>
      <c r="I25" s="118">
        <f t="shared" si="9"/>
        <v>0.15689620434639795</v>
      </c>
      <c r="J25" s="118">
        <f t="shared" si="9"/>
        <v>0.18309805504274035</v>
      </c>
      <c r="K25" s="118">
        <f t="shared" si="9"/>
        <v>0.20447752401207162</v>
      </c>
      <c r="L25" s="118">
        <f t="shared" si="9"/>
        <v>0.22537524389406952</v>
      </c>
      <c r="M25" s="70"/>
      <c r="N25" s="54"/>
      <c r="O25" s="54"/>
      <c r="P25" s="54"/>
      <c r="Q25" s="54"/>
      <c r="R25" s="54"/>
    </row>
    <row r="26" spans="4:19" x14ac:dyDescent="0.3">
      <c r="D26" s="5" t="s">
        <v>42</v>
      </c>
      <c r="E26" s="16">
        <v>-8.1980181818181794</v>
      </c>
      <c r="F26" s="16">
        <v>-8.5753530314431803</v>
      </c>
      <c r="G26" s="16">
        <v>-8.4186750448701133</v>
      </c>
      <c r="H26" s="16">
        <v>-8.291110279447679</v>
      </c>
      <c r="I26" s="16">
        <v>-8.2938438237738445</v>
      </c>
      <c r="J26" s="16">
        <v>-8.2835497567630476</v>
      </c>
      <c r="K26" s="16">
        <v>-8.3551947810867429</v>
      </c>
      <c r="L26" s="16">
        <v>-8.4196753029780691</v>
      </c>
      <c r="M26" s="91"/>
      <c r="N26" s="91"/>
      <c r="O26" s="91"/>
      <c r="P26" s="91"/>
      <c r="Q26" s="91"/>
      <c r="R26" s="91"/>
      <c r="S26" s="91"/>
    </row>
    <row r="27" spans="4:19" x14ac:dyDescent="0.3">
      <c r="D27" s="34" t="s">
        <v>13</v>
      </c>
      <c r="E27" s="35">
        <f>E24+E26</f>
        <v>12.700761818181816</v>
      </c>
      <c r="F27" s="35">
        <f>F24+F26</f>
        <v>-1.0489011348346171</v>
      </c>
      <c r="G27" s="35">
        <f t="shared" ref="G27:L27" si="10">G24+G26</f>
        <v>6.4238656670723699</v>
      </c>
      <c r="H27" s="35">
        <f t="shared" si="10"/>
        <v>10.463572717254941</v>
      </c>
      <c r="I27" s="35">
        <f t="shared" si="10"/>
        <v>17.80880737531859</v>
      </c>
      <c r="J27" s="35">
        <f t="shared" si="10"/>
        <v>25.043971053896311</v>
      </c>
      <c r="K27" s="35">
        <f t="shared" si="10"/>
        <v>32.265636280794389</v>
      </c>
      <c r="L27" s="35">
        <f t="shared" si="10"/>
        <v>39.988138943815613</v>
      </c>
    </row>
    <row r="28" spans="4:19" x14ac:dyDescent="0.3">
      <c r="D28" s="32" t="s">
        <v>16</v>
      </c>
      <c r="E28" s="118">
        <f t="shared" ref="E28:L28" si="11">E27/E16</f>
        <v>8.4504426689699833E-2</v>
      </c>
      <c r="F28" s="118">
        <f t="shared" si="11"/>
        <v>-8.850800376865451E-3</v>
      </c>
      <c r="G28" s="118">
        <f t="shared" si="11"/>
        <v>4.807595172780562E-2</v>
      </c>
      <c r="H28" s="118">
        <f t="shared" si="11"/>
        <v>6.9453619923970519E-2</v>
      </c>
      <c r="I28" s="118">
        <f t="shared" si="11"/>
        <v>0.1070440799216891</v>
      </c>
      <c r="J28" s="118">
        <f t="shared" si="11"/>
        <v>0.13758906390206174</v>
      </c>
      <c r="K28" s="118">
        <f t="shared" si="11"/>
        <v>0.16241906541301995</v>
      </c>
      <c r="L28" s="118">
        <f t="shared" si="11"/>
        <v>0.18617524272807504</v>
      </c>
    </row>
    <row r="29" spans="4:19" x14ac:dyDescent="0.3">
      <c r="D29" s="5" t="s">
        <v>41</v>
      </c>
      <c r="E29" s="16">
        <f>-E27*28%</f>
        <v>-3.5562133090909085</v>
      </c>
      <c r="F29" s="16">
        <f t="shared" ref="F29:L29" si="12">-F27*28%</f>
        <v>0.29369231775369281</v>
      </c>
      <c r="G29" s="16">
        <f t="shared" si="12"/>
        <v>-1.7986823867802637</v>
      </c>
      <c r="H29" s="16">
        <f t="shared" si="12"/>
        <v>-2.9298003608313836</v>
      </c>
      <c r="I29" s="16">
        <f t="shared" si="12"/>
        <v>-4.9864660650892061</v>
      </c>
      <c r="J29" s="16">
        <f t="shared" si="12"/>
        <v>-7.012311895090968</v>
      </c>
      <c r="K29" s="16">
        <f t="shared" si="12"/>
        <v>-9.0343781586224292</v>
      </c>
      <c r="L29" s="16">
        <f t="shared" si="12"/>
        <v>-11.196678904268373</v>
      </c>
    </row>
    <row r="30" spans="4:19" ht="16.8" thickBot="1" x14ac:dyDescent="0.4">
      <c r="D30" s="36" t="s">
        <v>17</v>
      </c>
      <c r="E30" s="119">
        <f t="shared" ref="E30:K30" si="13">(E27+E29)/E16</f>
        <v>6.0843187216583876E-2</v>
      </c>
      <c r="F30" s="119">
        <f t="shared" si="13"/>
        <v>-6.3725762713431246E-3</v>
      </c>
      <c r="G30" s="119">
        <f t="shared" si="13"/>
        <v>3.4614685244020039E-2</v>
      </c>
      <c r="H30" s="119">
        <f t="shared" si="13"/>
        <v>5.0006606345258775E-2</v>
      </c>
      <c r="I30" s="119">
        <f t="shared" si="13"/>
        <v>7.7071737543616139E-2</v>
      </c>
      <c r="J30" s="119">
        <f t="shared" si="13"/>
        <v>9.9064126009484443E-2</v>
      </c>
      <c r="K30" s="119">
        <f t="shared" si="13"/>
        <v>0.11694172709737435</v>
      </c>
      <c r="L30" s="119">
        <f>(L27+L29)/L16</f>
        <v>0.13404617476421402</v>
      </c>
    </row>
    <row r="31" spans="4:19" ht="16.2" x14ac:dyDescent="0.35">
      <c r="D31" s="8"/>
      <c r="E31" s="25"/>
      <c r="F31" s="25"/>
      <c r="G31" s="25"/>
      <c r="H31" s="25"/>
      <c r="I31" s="25"/>
      <c r="J31" s="25"/>
      <c r="K31" s="25"/>
      <c r="L31" s="25"/>
    </row>
    <row r="32" spans="4:19" ht="16.2" x14ac:dyDescent="0.35">
      <c r="D32" s="8"/>
      <c r="E32" s="25"/>
      <c r="F32" s="25"/>
      <c r="G32" s="25"/>
      <c r="H32" s="25"/>
      <c r="I32" s="25"/>
      <c r="J32" s="25"/>
      <c r="K32" s="25"/>
      <c r="L32" s="25"/>
    </row>
    <row r="33" spans="1:17" s="21" customFormat="1" x14ac:dyDescent="0.3">
      <c r="A33" s="1"/>
      <c r="B33" s="19"/>
      <c r="C33" s="1"/>
      <c r="D33" s="20" t="s">
        <v>177</v>
      </c>
    </row>
    <row r="35" spans="1:17" x14ac:dyDescent="0.3">
      <c r="D35" s="3" t="str">
        <f>D4</f>
        <v>Cible SA</v>
      </c>
      <c r="E35" s="3"/>
      <c r="F35" s="3"/>
    </row>
    <row r="36" spans="1:17" ht="16.2" thickBot="1" x14ac:dyDescent="0.35">
      <c r="D36" s="4" t="str">
        <f>D14</f>
        <v>Compte de résultat (en millions d'euros)</v>
      </c>
      <c r="E36" s="4">
        <v>2019</v>
      </c>
      <c r="F36" s="4">
        <f t="shared" ref="F36:L36" si="14">F14</f>
        <v>2020</v>
      </c>
      <c r="G36" s="9" t="str">
        <f t="shared" si="14"/>
        <v>2021E</v>
      </c>
      <c r="H36" s="9" t="str">
        <f t="shared" si="14"/>
        <v>2022E</v>
      </c>
      <c r="I36" s="9" t="str">
        <f t="shared" si="14"/>
        <v>2023E</v>
      </c>
      <c r="J36" s="9" t="str">
        <f t="shared" si="14"/>
        <v>2024E</v>
      </c>
      <c r="K36" s="9" t="str">
        <f t="shared" si="14"/>
        <v>2025E</v>
      </c>
      <c r="L36" s="9" t="str">
        <f t="shared" si="14"/>
        <v>2026E</v>
      </c>
    </row>
    <row r="37" spans="1:17" ht="4.95" customHeight="1" x14ac:dyDescent="0.3"/>
    <row r="38" spans="1:17" x14ac:dyDescent="0.3">
      <c r="D38" s="3" t="str">
        <f t="shared" ref="D38:L38" si="15">D16</f>
        <v>Chiffre d'affaires</v>
      </c>
      <c r="E38" s="12">
        <f t="shared" si="15"/>
        <v>150.297</v>
      </c>
      <c r="F38" s="12">
        <f t="shared" si="15"/>
        <v>118.50918449999999</v>
      </c>
      <c r="G38" s="12">
        <f t="shared" si="15"/>
        <v>133.61910552374999</v>
      </c>
      <c r="H38" s="12">
        <f t="shared" si="15"/>
        <v>150.65554147802811</v>
      </c>
      <c r="I38" s="12">
        <f t="shared" si="15"/>
        <v>166.36891445418644</v>
      </c>
      <c r="J38" s="12">
        <f t="shared" si="15"/>
        <v>182.02007008146404</v>
      </c>
      <c r="K38" s="12">
        <f t="shared" si="15"/>
        <v>198.65670448690989</v>
      </c>
      <c r="L38" s="12">
        <f t="shared" si="15"/>
        <v>214.78762889124701</v>
      </c>
    </row>
    <row r="39" spans="1:17" x14ac:dyDescent="0.3">
      <c r="D39" s="1" t="str">
        <f t="shared" ref="D39:L39" si="16">D18</f>
        <v>Coûts directs</v>
      </c>
      <c r="E39" s="14">
        <f t="shared" si="16"/>
        <v>-90.320999999999998</v>
      </c>
      <c r="F39" s="14">
        <f t="shared" si="16"/>
        <v>-77.800161054</v>
      </c>
      <c r="G39" s="14">
        <f t="shared" si="16"/>
        <v>-83.868573616212004</v>
      </c>
      <c r="H39" s="14">
        <f t="shared" si="16"/>
        <v>-90.410322358276545</v>
      </c>
      <c r="I39" s="14">
        <f t="shared" si="16"/>
        <v>-96.178500924734593</v>
      </c>
      <c r="J39" s="14">
        <f t="shared" si="16"/>
        <v>-101.36733104962403</v>
      </c>
      <c r="K39" s="14">
        <f t="shared" si="16"/>
        <v>-107.37841378086674</v>
      </c>
      <c r="L39" s="14">
        <f t="shared" si="16"/>
        <v>-112.68290742164157</v>
      </c>
    </row>
    <row r="40" spans="1:17" x14ac:dyDescent="0.3">
      <c r="D40" s="3" t="str">
        <f t="shared" ref="D40:L40" si="17">D20</f>
        <v>Marge brute</v>
      </c>
      <c r="E40" s="12">
        <f t="shared" si="17"/>
        <v>59.975999999999999</v>
      </c>
      <c r="F40" s="12">
        <f t="shared" si="17"/>
        <v>40.709023445999989</v>
      </c>
      <c r="G40" s="12">
        <f t="shared" si="17"/>
        <v>49.75053190753799</v>
      </c>
      <c r="H40" s="12">
        <f t="shared" si="17"/>
        <v>60.245219119751567</v>
      </c>
      <c r="I40" s="12">
        <f t="shared" si="17"/>
        <v>70.190413529451845</v>
      </c>
      <c r="J40" s="12">
        <f t="shared" si="17"/>
        <v>80.652739031840014</v>
      </c>
      <c r="K40" s="12">
        <f t="shared" si="17"/>
        <v>91.278290706043151</v>
      </c>
      <c r="L40" s="12">
        <f t="shared" si="17"/>
        <v>102.10472146960544</v>
      </c>
    </row>
    <row r="41" spans="1:17" x14ac:dyDescent="0.3">
      <c r="D41" s="5" t="str">
        <f t="shared" ref="D41:L41" si="18">D23</f>
        <v>Frais généraux</v>
      </c>
      <c r="E41" s="16">
        <f t="shared" si="18"/>
        <v>-6.5128700000000004</v>
      </c>
      <c r="F41" s="16">
        <f t="shared" si="18"/>
        <v>-5.5304286100000004</v>
      </c>
      <c r="G41" s="16">
        <f t="shared" si="18"/>
        <v>-6.1242090031718748</v>
      </c>
      <c r="H41" s="16">
        <f t="shared" si="18"/>
        <v>-6.7794993665112662</v>
      </c>
      <c r="I41" s="16">
        <f t="shared" si="18"/>
        <v>-7.3479603883932354</v>
      </c>
      <c r="J41" s="16">
        <f t="shared" si="18"/>
        <v>-7.8875363701967762</v>
      </c>
      <c r="K41" s="16">
        <f t="shared" si="18"/>
        <v>-8.4429099406936707</v>
      </c>
      <c r="L41" s="16">
        <f t="shared" si="18"/>
        <v>-8.9494845371352927</v>
      </c>
    </row>
    <row r="42" spans="1:17" x14ac:dyDescent="0.3">
      <c r="D42" s="45" t="str">
        <f t="shared" ref="D42:L42" si="19">D24</f>
        <v>EBE ou EBITDA</v>
      </c>
      <c r="E42" s="46">
        <f t="shared" si="19"/>
        <v>20.898779999999995</v>
      </c>
      <c r="F42" s="46">
        <f t="shared" si="19"/>
        <v>7.5264518966085632</v>
      </c>
      <c r="G42" s="46">
        <f t="shared" si="19"/>
        <v>14.842540711942483</v>
      </c>
      <c r="H42" s="46">
        <f t="shared" si="19"/>
        <v>18.75468299670262</v>
      </c>
      <c r="I42" s="46">
        <f t="shared" si="19"/>
        <v>26.102651199092435</v>
      </c>
      <c r="J42" s="46">
        <f t="shared" si="19"/>
        <v>33.327520810659358</v>
      </c>
      <c r="K42" s="46">
        <f t="shared" si="19"/>
        <v>40.620831061881134</v>
      </c>
      <c r="L42" s="46">
        <f t="shared" si="19"/>
        <v>48.407814246793684</v>
      </c>
    </row>
    <row r="43" spans="1:17" x14ac:dyDescent="0.3">
      <c r="D43" s="5" t="str">
        <f t="shared" ref="D43:L43" si="20">D26</f>
        <v xml:space="preserve">Dépréciations &amp; Amortissements </v>
      </c>
      <c r="E43" s="16">
        <f t="shared" si="20"/>
        <v>-8.1980181818181794</v>
      </c>
      <c r="F43" s="16">
        <f t="shared" si="20"/>
        <v>-8.5753530314431803</v>
      </c>
      <c r="G43" s="16">
        <f t="shared" si="20"/>
        <v>-8.4186750448701133</v>
      </c>
      <c r="H43" s="16">
        <f t="shared" si="20"/>
        <v>-8.291110279447679</v>
      </c>
      <c r="I43" s="16">
        <f t="shared" si="20"/>
        <v>-8.2938438237738445</v>
      </c>
      <c r="J43" s="16">
        <f t="shared" si="20"/>
        <v>-8.2835497567630476</v>
      </c>
      <c r="K43" s="16">
        <f t="shared" si="20"/>
        <v>-8.3551947810867429</v>
      </c>
      <c r="L43" s="16">
        <f t="shared" si="20"/>
        <v>-8.4196753029780691</v>
      </c>
    </row>
    <row r="44" spans="1:17" x14ac:dyDescent="0.3">
      <c r="D44" s="34" t="str">
        <f t="shared" ref="D44:L44" si="21">D27</f>
        <v>Rex ou EBIT</v>
      </c>
      <c r="E44" s="35">
        <f t="shared" si="21"/>
        <v>12.700761818181816</v>
      </c>
      <c r="F44" s="35">
        <f t="shared" si="21"/>
        <v>-1.0489011348346171</v>
      </c>
      <c r="G44" s="35">
        <f t="shared" si="21"/>
        <v>6.4238656670723699</v>
      </c>
      <c r="H44" s="35">
        <f t="shared" si="21"/>
        <v>10.463572717254941</v>
      </c>
      <c r="I44" s="35">
        <f t="shared" si="21"/>
        <v>17.80880737531859</v>
      </c>
      <c r="J44" s="35">
        <f t="shared" si="21"/>
        <v>25.043971053896311</v>
      </c>
      <c r="K44" s="35">
        <f t="shared" si="21"/>
        <v>32.265636280794389</v>
      </c>
      <c r="L44" s="35">
        <f t="shared" si="21"/>
        <v>39.988138943815613</v>
      </c>
      <c r="Q44" s="54"/>
    </row>
    <row r="45" spans="1:17" x14ac:dyDescent="0.3">
      <c r="D45" s="6" t="s">
        <v>147</v>
      </c>
      <c r="E45" s="18">
        <v>-1.1689306363636363</v>
      </c>
      <c r="F45" s="18">
        <v>-1.1689306363636363</v>
      </c>
      <c r="G45" s="18">
        <v>-1.1689306363636363</v>
      </c>
      <c r="H45" s="18">
        <v>-1.1689306363636363</v>
      </c>
      <c r="I45" s="18">
        <v>-1.1689306363636363</v>
      </c>
      <c r="J45" s="18">
        <v>-1.1689306363636363</v>
      </c>
      <c r="K45" s="18">
        <v>0</v>
      </c>
      <c r="L45" s="18">
        <v>0</v>
      </c>
      <c r="Q45" s="54"/>
    </row>
    <row r="46" spans="1:17" x14ac:dyDescent="0.3">
      <c r="D46" s="45" t="s">
        <v>150</v>
      </c>
      <c r="E46" s="46">
        <f>E44+E45</f>
        <v>11.531831181818179</v>
      </c>
      <c r="F46" s="46">
        <f>F44+F45</f>
        <v>-2.2178317711982531</v>
      </c>
      <c r="G46" s="46">
        <f t="shared" ref="G46:L46" si="22">G44+G45</f>
        <v>5.2549350307087339</v>
      </c>
      <c r="H46" s="46">
        <f t="shared" si="22"/>
        <v>9.2946420808913039</v>
      </c>
      <c r="I46" s="46">
        <f t="shared" si="22"/>
        <v>16.639876738954953</v>
      </c>
      <c r="J46" s="46">
        <f t="shared" si="22"/>
        <v>23.875040417532674</v>
      </c>
      <c r="K46" s="46">
        <f t="shared" si="22"/>
        <v>32.265636280794389</v>
      </c>
      <c r="L46" s="46">
        <f t="shared" si="22"/>
        <v>39.988138943815613</v>
      </c>
    </row>
    <row r="47" spans="1:17" x14ac:dyDescent="0.3">
      <c r="D47" s="5" t="s">
        <v>38</v>
      </c>
      <c r="E47" s="16">
        <f>IF(E46&gt;0,-28%*E46,0)</f>
        <v>-3.2289127309090904</v>
      </c>
      <c r="F47" s="16">
        <f t="shared" ref="F47:L47" si="23">IF(F46&gt;0,-28%*F46,0)</f>
        <v>0</v>
      </c>
      <c r="G47" s="16">
        <f t="shared" si="23"/>
        <v>-1.4713818085984456</v>
      </c>
      <c r="H47" s="16">
        <f t="shared" si="23"/>
        <v>-2.6024997826495655</v>
      </c>
      <c r="I47" s="16">
        <f t="shared" si="23"/>
        <v>-4.6591654869073871</v>
      </c>
      <c r="J47" s="16">
        <f t="shared" si="23"/>
        <v>-6.685011316909149</v>
      </c>
      <c r="K47" s="16">
        <f t="shared" si="23"/>
        <v>-9.0343781586224292</v>
      </c>
      <c r="L47" s="16">
        <f t="shared" si="23"/>
        <v>-11.196678904268373</v>
      </c>
    </row>
    <row r="48" spans="1:17" ht="16.2" thickBot="1" x14ac:dyDescent="0.35">
      <c r="D48" s="101" t="s">
        <v>178</v>
      </c>
      <c r="E48" s="102">
        <f>E46+E47</f>
        <v>8.3029184509090879</v>
      </c>
      <c r="F48" s="102">
        <f t="shared" ref="F48:L48" si="24">F46+F47</f>
        <v>-2.2178317711982531</v>
      </c>
      <c r="G48" s="102">
        <f t="shared" si="24"/>
        <v>3.7835532221102883</v>
      </c>
      <c r="H48" s="102">
        <f t="shared" si="24"/>
        <v>6.6921422982417385</v>
      </c>
      <c r="I48" s="102">
        <f t="shared" si="24"/>
        <v>11.980711252047566</v>
      </c>
      <c r="J48" s="102">
        <f t="shared" si="24"/>
        <v>17.190029100623526</v>
      </c>
      <c r="K48" s="102">
        <f t="shared" si="24"/>
        <v>23.231258122171958</v>
      </c>
      <c r="L48" s="102">
        <f t="shared" si="24"/>
        <v>28.791460039547239</v>
      </c>
    </row>
    <row r="51" spans="1:12" s="21" customFormat="1" x14ac:dyDescent="0.3">
      <c r="A51" s="1"/>
      <c r="B51" s="19" t="s">
        <v>170</v>
      </c>
      <c r="C51" s="1"/>
      <c r="D51" s="20" t="s">
        <v>171</v>
      </c>
      <c r="E51" s="20"/>
    </row>
    <row r="53" spans="1:12" x14ac:dyDescent="0.3">
      <c r="D53" s="3" t="s">
        <v>7</v>
      </c>
      <c r="E53" s="3"/>
      <c r="F53" s="3"/>
    </row>
    <row r="54" spans="1:12" x14ac:dyDescent="0.3">
      <c r="D54" s="8" t="s">
        <v>96</v>
      </c>
      <c r="E54" s="8">
        <v>2019</v>
      </c>
      <c r="F54" s="8">
        <v>2020</v>
      </c>
      <c r="G54" s="90" t="s">
        <v>2</v>
      </c>
      <c r="H54" s="90" t="s">
        <v>3</v>
      </c>
      <c r="I54" s="90" t="s">
        <v>4</v>
      </c>
      <c r="J54" s="90" t="s">
        <v>5</v>
      </c>
      <c r="K54" s="90" t="s">
        <v>24</v>
      </c>
      <c r="L54" s="90" t="s">
        <v>25</v>
      </c>
    </row>
    <row r="55" spans="1:12" ht="4.95" customHeight="1" thickBot="1" x14ac:dyDescent="0.35">
      <c r="D55" s="17"/>
      <c r="E55" s="17"/>
      <c r="F55" s="17"/>
      <c r="G55" s="17"/>
      <c r="H55" s="17"/>
      <c r="I55" s="17"/>
      <c r="J55" s="17"/>
      <c r="K55" s="17"/>
      <c r="L55" s="17"/>
    </row>
    <row r="56" spans="1:12" ht="16.05" customHeight="1" x14ac:dyDescent="0.3">
      <c r="D56" s="92" t="s">
        <v>9</v>
      </c>
      <c r="E56" s="93">
        <f t="shared" ref="E56:L56" si="25">E16</f>
        <v>150.297</v>
      </c>
      <c r="F56" s="93">
        <f t="shared" si="25"/>
        <v>118.50918449999999</v>
      </c>
      <c r="G56" s="93">
        <f t="shared" si="25"/>
        <v>133.61910552374999</v>
      </c>
      <c r="H56" s="93">
        <f t="shared" si="25"/>
        <v>150.65554147802811</v>
      </c>
      <c r="I56" s="93">
        <f t="shared" si="25"/>
        <v>166.36891445418644</v>
      </c>
      <c r="J56" s="93">
        <f t="shared" si="25"/>
        <v>182.02007008146404</v>
      </c>
      <c r="K56" s="93">
        <f t="shared" si="25"/>
        <v>198.65670448690989</v>
      </c>
      <c r="L56" s="93">
        <f t="shared" si="25"/>
        <v>214.78762889124701</v>
      </c>
    </row>
    <row r="57" spans="1:12" ht="4.95" customHeight="1" x14ac:dyDescent="0.3"/>
    <row r="58" spans="1:12" x14ac:dyDescent="0.3">
      <c r="D58" s="1" t="s">
        <v>72</v>
      </c>
      <c r="E58" s="14">
        <v>25.55049</v>
      </c>
      <c r="F58" s="14">
        <v>20.146561365</v>
      </c>
      <c r="G58" s="14">
        <v>22.548224057132813</v>
      </c>
      <c r="H58" s="14">
        <v>25.234803197569711</v>
      </c>
      <c r="I58" s="14">
        <v>27.658832028008497</v>
      </c>
      <c r="J58" s="14">
        <v>30.033311563441568</v>
      </c>
      <c r="K58" s="14">
        <v>32.530035359731492</v>
      </c>
      <c r="L58" s="14">
        <v>34.902989694827639</v>
      </c>
    </row>
    <row r="59" spans="1:12" x14ac:dyDescent="0.3">
      <c r="D59" s="45" t="s">
        <v>154</v>
      </c>
      <c r="E59" s="72">
        <f>(E58/E56)*365</f>
        <v>62.050000000000004</v>
      </c>
      <c r="F59" s="72">
        <f t="shared" ref="F59:L59" si="26">(F58/F56)*365</f>
        <v>62.050000000000004</v>
      </c>
      <c r="G59" s="72">
        <f t="shared" si="26"/>
        <v>61.593750000000007</v>
      </c>
      <c r="H59" s="72">
        <f t="shared" si="26"/>
        <v>61.137500000000003</v>
      </c>
      <c r="I59" s="72">
        <f t="shared" si="26"/>
        <v>60.681250000000006</v>
      </c>
      <c r="J59" s="72">
        <f t="shared" si="26"/>
        <v>60.225000000000001</v>
      </c>
      <c r="K59" s="72">
        <f t="shared" si="26"/>
        <v>59.76874999999999</v>
      </c>
      <c r="L59" s="72">
        <f t="shared" si="26"/>
        <v>59.3125</v>
      </c>
    </row>
    <row r="60" spans="1:12" s="22" customFormat="1" ht="4.95" customHeight="1" x14ac:dyDescent="0.3">
      <c r="D60" s="75"/>
      <c r="E60" s="76"/>
      <c r="F60" s="76"/>
      <c r="G60" s="76"/>
      <c r="H60" s="76"/>
      <c r="I60" s="76"/>
      <c r="J60" s="76"/>
      <c r="K60" s="76"/>
      <c r="L60" s="76"/>
    </row>
    <row r="61" spans="1:12" x14ac:dyDescent="0.3">
      <c r="D61" s="23" t="s">
        <v>73</v>
      </c>
      <c r="E61" s="26">
        <v>22.544549999999997</v>
      </c>
      <c r="F61" s="26">
        <v>17.776377674999999</v>
      </c>
      <c r="G61" s="26">
        <v>19.875841946657811</v>
      </c>
      <c r="H61" s="26">
        <v>22.221692368009144</v>
      </c>
      <c r="I61" s="26">
        <v>24.331453738924765</v>
      </c>
      <c r="J61" s="26">
        <v>26.392910161812285</v>
      </c>
      <c r="K61" s="26">
        <v>28.556901269993293</v>
      </c>
      <c r="L61" s="26">
        <v>30.607237117002697</v>
      </c>
    </row>
    <row r="62" spans="1:12" x14ac:dyDescent="0.3">
      <c r="D62" s="45" t="s">
        <v>153</v>
      </c>
      <c r="E62" s="72">
        <f>(E61/E56)*365</f>
        <v>54.75</v>
      </c>
      <c r="F62" s="72">
        <f t="shared" ref="F62:L62" si="27">(F61/F56)*365</f>
        <v>54.75</v>
      </c>
      <c r="G62" s="72">
        <f t="shared" si="27"/>
        <v>54.293749999999996</v>
      </c>
      <c r="H62" s="72">
        <f t="shared" si="27"/>
        <v>53.837499999999999</v>
      </c>
      <c r="I62" s="72">
        <f t="shared" si="27"/>
        <v>53.381249999999994</v>
      </c>
      <c r="J62" s="72">
        <f t="shared" si="27"/>
        <v>52.924999999999997</v>
      </c>
      <c r="K62" s="72">
        <f t="shared" si="27"/>
        <v>52.468749999999993</v>
      </c>
      <c r="L62" s="72">
        <f t="shared" si="27"/>
        <v>52.012499999999996</v>
      </c>
    </row>
    <row r="63" spans="1:12" s="22" customFormat="1" ht="4.95" customHeight="1" x14ac:dyDescent="0.3">
      <c r="D63" s="75"/>
      <c r="E63" s="108"/>
      <c r="F63" s="108"/>
      <c r="G63" s="108"/>
      <c r="H63" s="108"/>
      <c r="I63" s="108"/>
      <c r="J63" s="108"/>
      <c r="K63" s="108"/>
      <c r="L63" s="108"/>
    </row>
    <row r="64" spans="1:12" x14ac:dyDescent="0.3">
      <c r="D64" s="1" t="s">
        <v>74</v>
      </c>
      <c r="E64" s="14">
        <v>-16.53267</v>
      </c>
      <c r="F64" s="14">
        <v>-13.036010294999999</v>
      </c>
      <c r="G64" s="14">
        <v>-14.6981016076125</v>
      </c>
      <c r="H64" s="14">
        <v>-16.572109562583094</v>
      </c>
      <c r="I64" s="14">
        <v>-18.300580589960507</v>
      </c>
      <c r="J64" s="14">
        <v>-20.022207708961044</v>
      </c>
      <c r="K64" s="14">
        <v>-21.852237493560089</v>
      </c>
      <c r="L64" s="14">
        <v>-23.62663917803717</v>
      </c>
    </row>
    <row r="65" spans="4:12" x14ac:dyDescent="0.3">
      <c r="D65" s="45" t="s">
        <v>156</v>
      </c>
      <c r="E65" s="72">
        <f t="shared" ref="E65:L65" si="28">-(E64/E56)*365</f>
        <v>40.15</v>
      </c>
      <c r="F65" s="72">
        <f t="shared" si="28"/>
        <v>40.15</v>
      </c>
      <c r="G65" s="72">
        <f t="shared" si="28"/>
        <v>40.15</v>
      </c>
      <c r="H65" s="72">
        <f t="shared" si="28"/>
        <v>40.150000000000006</v>
      </c>
      <c r="I65" s="72">
        <f t="shared" si="28"/>
        <v>40.15</v>
      </c>
      <c r="J65" s="72">
        <f t="shared" si="28"/>
        <v>40.15</v>
      </c>
      <c r="K65" s="72">
        <f t="shared" si="28"/>
        <v>40.150000000000006</v>
      </c>
      <c r="L65" s="72">
        <f t="shared" si="28"/>
        <v>40.15</v>
      </c>
    </row>
    <row r="66" spans="4:12" ht="4.95" customHeight="1" x14ac:dyDescent="0.3"/>
    <row r="67" spans="4:12" ht="16.05" customHeight="1" x14ac:dyDescent="0.3">
      <c r="D67" s="5" t="s">
        <v>84</v>
      </c>
      <c r="E67" s="16">
        <v>3.0059399999999998</v>
      </c>
      <c r="F67" s="16">
        <v>2.3701836899999997</v>
      </c>
      <c r="G67" s="16">
        <v>2.6723821104750001</v>
      </c>
      <c r="H67" s="16">
        <v>3.0131108295605622</v>
      </c>
      <c r="I67" s="16">
        <v>3.3273782890837289</v>
      </c>
      <c r="J67" s="16">
        <v>3.6404014016292807</v>
      </c>
      <c r="K67" s="16">
        <v>3.9731340897381977</v>
      </c>
      <c r="L67" s="16">
        <v>4.2957525778249401</v>
      </c>
    </row>
    <row r="68" spans="4:12" ht="16.05" hidden="1" customHeight="1" x14ac:dyDescent="0.3">
      <c r="D68" s="45" t="s">
        <v>155</v>
      </c>
      <c r="E68" s="72">
        <v>7.3</v>
      </c>
      <c r="F68" s="72">
        <v>7.3</v>
      </c>
      <c r="G68" s="72">
        <v>7.3</v>
      </c>
      <c r="H68" s="72">
        <v>7.3</v>
      </c>
      <c r="I68" s="72">
        <v>7.3</v>
      </c>
      <c r="J68" s="72">
        <v>7.3</v>
      </c>
      <c r="K68" s="72">
        <v>7.3</v>
      </c>
      <c r="L68" s="72">
        <v>7.3</v>
      </c>
    </row>
    <row r="69" spans="4:12" ht="4.95" customHeight="1" x14ac:dyDescent="0.3"/>
    <row r="70" spans="4:12" ht="16.05" customHeight="1" x14ac:dyDescent="0.3">
      <c r="D70" s="5" t="s">
        <v>85</v>
      </c>
      <c r="E70" s="16">
        <v>-12.023759999999999</v>
      </c>
      <c r="F70" s="16">
        <v>-9.4807347599999989</v>
      </c>
      <c r="G70" s="16">
        <v>-10.6895284419</v>
      </c>
      <c r="H70" s="16">
        <v>-12.052443318242249</v>
      </c>
      <c r="I70" s="16">
        <v>-13.309513156334916</v>
      </c>
      <c r="J70" s="16">
        <v>-14.561605606517123</v>
      </c>
      <c r="K70" s="16">
        <v>-15.892536358952791</v>
      </c>
      <c r="L70" s="16">
        <v>-17.183010311299761</v>
      </c>
    </row>
    <row r="71" spans="4:12" ht="16.05" hidden="1" customHeight="1" x14ac:dyDescent="0.3">
      <c r="D71" s="45" t="s">
        <v>157</v>
      </c>
      <c r="E71" s="72">
        <f t="shared" ref="E71:L71" si="29">-(E70/E56)*365</f>
        <v>29.2</v>
      </c>
      <c r="F71" s="72">
        <f t="shared" si="29"/>
        <v>29.2</v>
      </c>
      <c r="G71" s="72">
        <f t="shared" si="29"/>
        <v>29.2</v>
      </c>
      <c r="H71" s="72">
        <f t="shared" si="29"/>
        <v>29.2</v>
      </c>
      <c r="I71" s="72">
        <f t="shared" si="29"/>
        <v>29.2</v>
      </c>
      <c r="J71" s="72">
        <f t="shared" si="29"/>
        <v>29.2</v>
      </c>
      <c r="K71" s="72">
        <f t="shared" si="29"/>
        <v>29.2</v>
      </c>
      <c r="L71" s="72">
        <f t="shared" si="29"/>
        <v>29.2</v>
      </c>
    </row>
    <row r="72" spans="4:12" ht="4.95" customHeight="1" x14ac:dyDescent="0.3"/>
    <row r="73" spans="4:12" ht="16.05" customHeight="1" thickBot="1" x14ac:dyDescent="0.35">
      <c r="D73" s="41" t="s">
        <v>75</v>
      </c>
      <c r="E73" s="77">
        <f>E58+E61+E67+E64+E70</f>
        <v>22.544549999999997</v>
      </c>
      <c r="F73" s="77">
        <f t="shared" ref="F73:L73" si="30">F58+F61+F67+F64+F70</f>
        <v>17.776377675000006</v>
      </c>
      <c r="G73" s="77">
        <f t="shared" si="30"/>
        <v>19.708818064753125</v>
      </c>
      <c r="H73" s="77">
        <f t="shared" si="30"/>
        <v>21.845053514314074</v>
      </c>
      <c r="I73" s="77">
        <f t="shared" si="30"/>
        <v>23.707570309721575</v>
      </c>
      <c r="J73" s="77">
        <f t="shared" si="30"/>
        <v>25.482809811404973</v>
      </c>
      <c r="K73" s="77">
        <f t="shared" si="30"/>
        <v>27.315296866950106</v>
      </c>
      <c r="L73" s="77">
        <f t="shared" si="30"/>
        <v>28.996329900318351</v>
      </c>
    </row>
    <row r="74" spans="4:12" ht="16.05" customHeight="1" x14ac:dyDescent="0.3"/>
    <row r="75" spans="4:12" ht="16.05" customHeight="1" x14ac:dyDescent="0.3"/>
    <row r="76" spans="4:12" ht="16.05" customHeight="1" x14ac:dyDescent="0.3">
      <c r="D76" s="3" t="s">
        <v>7</v>
      </c>
    </row>
    <row r="77" spans="4:12" ht="16.05" customHeight="1" thickBot="1" x14ac:dyDescent="0.35">
      <c r="D77" s="4" t="s">
        <v>97</v>
      </c>
      <c r="E77" s="4">
        <v>2019</v>
      </c>
      <c r="F77" s="4">
        <v>2020</v>
      </c>
      <c r="G77" s="9" t="s">
        <v>2</v>
      </c>
      <c r="H77" s="9" t="s">
        <v>3</v>
      </c>
      <c r="I77" s="9" t="s">
        <v>4</v>
      </c>
      <c r="J77" s="9" t="s">
        <v>5</v>
      </c>
      <c r="K77" s="9" t="s">
        <v>24</v>
      </c>
      <c r="L77" s="9" t="s">
        <v>25</v>
      </c>
    </row>
    <row r="78" spans="4:12" x14ac:dyDescent="0.3">
      <c r="D78" s="1" t="s">
        <v>75</v>
      </c>
      <c r="E78" s="14">
        <f>E73</f>
        <v>22.544549999999997</v>
      </c>
      <c r="F78" s="14">
        <f t="shared" ref="F78:L78" si="31">F73</f>
        <v>17.776377675000006</v>
      </c>
      <c r="G78" s="14">
        <f t="shared" si="31"/>
        <v>19.708818064753125</v>
      </c>
      <c r="H78" s="14">
        <f t="shared" si="31"/>
        <v>21.845053514314074</v>
      </c>
      <c r="I78" s="14">
        <f t="shared" si="31"/>
        <v>23.707570309721575</v>
      </c>
      <c r="J78" s="14">
        <f t="shared" si="31"/>
        <v>25.482809811404973</v>
      </c>
      <c r="K78" s="14">
        <f t="shared" si="31"/>
        <v>27.315296866950106</v>
      </c>
      <c r="L78" s="14">
        <f t="shared" si="31"/>
        <v>28.996329900318351</v>
      </c>
    </row>
    <row r="79" spans="4:12" x14ac:dyDescent="0.3">
      <c r="D79" s="1" t="s">
        <v>87</v>
      </c>
      <c r="E79" s="116">
        <f t="shared" ref="E79:L79" si="32">E78/E56</f>
        <v>0.15</v>
      </c>
      <c r="F79" s="116">
        <f t="shared" si="32"/>
        <v>0.15000000000000008</v>
      </c>
      <c r="G79" s="116">
        <f t="shared" si="32"/>
        <v>0.14749999999999999</v>
      </c>
      <c r="H79" s="116">
        <f t="shared" si="32"/>
        <v>0.14499999999999999</v>
      </c>
      <c r="I79" s="116">
        <f t="shared" si="32"/>
        <v>0.14250000000000004</v>
      </c>
      <c r="J79" s="116">
        <f t="shared" si="32"/>
        <v>0.14000000000000004</v>
      </c>
      <c r="K79" s="116">
        <f t="shared" si="32"/>
        <v>0.13749999999999998</v>
      </c>
      <c r="L79" s="116">
        <f t="shared" si="32"/>
        <v>0.13500000000000001</v>
      </c>
    </row>
    <row r="80" spans="4:12" ht="16.2" thickBot="1" x14ac:dyDescent="0.35">
      <c r="D80" s="36" t="s">
        <v>82</v>
      </c>
      <c r="E80" s="73">
        <f>E79*365</f>
        <v>54.75</v>
      </c>
      <c r="F80" s="73">
        <f t="shared" ref="F80:L80" si="33">F79*365</f>
        <v>54.750000000000028</v>
      </c>
      <c r="G80" s="73">
        <f t="shared" si="33"/>
        <v>53.837499999999999</v>
      </c>
      <c r="H80" s="73">
        <f t="shared" si="33"/>
        <v>52.924999999999997</v>
      </c>
      <c r="I80" s="73">
        <f t="shared" si="33"/>
        <v>52.012500000000017</v>
      </c>
      <c r="J80" s="73">
        <f t="shared" si="33"/>
        <v>51.100000000000016</v>
      </c>
      <c r="K80" s="73">
        <f t="shared" si="33"/>
        <v>50.187499999999993</v>
      </c>
      <c r="L80" s="73">
        <f t="shared" si="33"/>
        <v>49.275000000000006</v>
      </c>
    </row>
    <row r="83" spans="1:12" s="21" customFormat="1" x14ac:dyDescent="0.3">
      <c r="A83" s="1"/>
      <c r="B83" s="19" t="s">
        <v>172</v>
      </c>
      <c r="C83" s="1"/>
      <c r="D83" s="20" t="s">
        <v>117</v>
      </c>
    </row>
    <row r="85" spans="1:12" x14ac:dyDescent="0.3">
      <c r="D85" s="3" t="s">
        <v>7</v>
      </c>
      <c r="E85" s="3"/>
      <c r="F85" s="3"/>
    </row>
    <row r="86" spans="1:12" ht="16.2" thickBot="1" x14ac:dyDescent="0.35">
      <c r="D86" s="4" t="s">
        <v>101</v>
      </c>
      <c r="E86" s="4">
        <v>2019</v>
      </c>
      <c r="F86" s="4">
        <v>2020</v>
      </c>
      <c r="G86" s="9" t="s">
        <v>2</v>
      </c>
      <c r="H86" s="9" t="s">
        <v>3</v>
      </c>
      <c r="I86" s="9" t="s">
        <v>4</v>
      </c>
      <c r="J86" s="9" t="s">
        <v>5</v>
      </c>
      <c r="K86" s="9" t="s">
        <v>24</v>
      </c>
      <c r="L86" s="9" t="s">
        <v>25</v>
      </c>
    </row>
    <row r="87" spans="1:12" ht="4.95" customHeight="1" x14ac:dyDescent="0.3">
      <c r="G87" s="10"/>
      <c r="H87" s="10"/>
      <c r="I87" s="10"/>
      <c r="J87" s="10"/>
      <c r="K87" s="10"/>
      <c r="L87" s="10"/>
    </row>
    <row r="88" spans="1:12" x14ac:dyDescent="0.3">
      <c r="D88" s="1" t="s">
        <v>152</v>
      </c>
      <c r="E88" s="14">
        <v>5.0999999999999996</v>
      </c>
      <c r="F88" s="14">
        <v>3.85154849625</v>
      </c>
      <c r="G88" s="14">
        <v>4.0085731657124999</v>
      </c>
      <c r="H88" s="14">
        <v>4.1430273906457735</v>
      </c>
      <c r="I88" s="14">
        <v>4.159222861354662</v>
      </c>
      <c r="J88" s="14">
        <v>4.095451576832942</v>
      </c>
      <c r="K88" s="14">
        <v>5</v>
      </c>
      <c r="L88" s="14">
        <v>5</v>
      </c>
    </row>
    <row r="89" spans="1:12" x14ac:dyDescent="0.3">
      <c r="D89" s="1" t="s">
        <v>144</v>
      </c>
      <c r="E89" s="14">
        <v>4</v>
      </c>
      <c r="F89" s="14">
        <v>1</v>
      </c>
      <c r="G89" s="14">
        <v>3</v>
      </c>
      <c r="H89" s="14">
        <v>3</v>
      </c>
      <c r="I89" s="14">
        <v>4.159222861354662</v>
      </c>
      <c r="J89" s="14">
        <v>4.095451576832942</v>
      </c>
      <c r="K89" s="14">
        <v>4</v>
      </c>
      <c r="L89" s="14">
        <v>4</v>
      </c>
    </row>
    <row r="90" spans="1:12" ht="4.95" customHeight="1" x14ac:dyDescent="0.3">
      <c r="E90" s="14"/>
      <c r="F90" s="14"/>
      <c r="G90" s="14"/>
      <c r="H90" s="14"/>
      <c r="I90" s="14"/>
      <c r="J90" s="14"/>
      <c r="K90" s="14"/>
      <c r="L90" s="14"/>
    </row>
    <row r="91" spans="1:12" ht="16.2" thickBot="1" x14ac:dyDescent="0.35">
      <c r="D91" s="36" t="s">
        <v>114</v>
      </c>
      <c r="E91" s="44">
        <f>SUM(E88:E89)</f>
        <v>9.1</v>
      </c>
      <c r="F91" s="44">
        <f>SUM(F88:F89)</f>
        <v>4.8515484962500004</v>
      </c>
      <c r="G91" s="44">
        <f t="shared" ref="G91:L91" si="34">SUM(G88:G89)</f>
        <v>7.0085731657124999</v>
      </c>
      <c r="H91" s="44">
        <f t="shared" si="34"/>
        <v>7.1430273906457735</v>
      </c>
      <c r="I91" s="44">
        <f t="shared" si="34"/>
        <v>8.318445722709324</v>
      </c>
      <c r="J91" s="44">
        <f>SUM(J88:J89)</f>
        <v>8.1909031536658841</v>
      </c>
      <c r="K91" s="44">
        <f t="shared" si="34"/>
        <v>9</v>
      </c>
      <c r="L91" s="44">
        <f t="shared" si="34"/>
        <v>9</v>
      </c>
    </row>
    <row r="93" spans="1:12" x14ac:dyDescent="0.3">
      <c r="D93" s="3" t="s">
        <v>7</v>
      </c>
      <c r="E93" s="3"/>
      <c r="F93" s="3"/>
    </row>
    <row r="94" spans="1:12" ht="16.2" thickBot="1" x14ac:dyDescent="0.35">
      <c r="D94" s="4" t="s">
        <v>107</v>
      </c>
      <c r="E94" s="4">
        <v>2019</v>
      </c>
      <c r="F94" s="4">
        <v>2020</v>
      </c>
      <c r="G94" s="9" t="s">
        <v>2</v>
      </c>
      <c r="H94" s="9" t="s">
        <v>3</v>
      </c>
      <c r="I94" s="9" t="s">
        <v>4</v>
      </c>
      <c r="J94" s="9" t="s">
        <v>5</v>
      </c>
      <c r="K94" s="9" t="s">
        <v>24</v>
      </c>
      <c r="L94" s="9" t="s">
        <v>25</v>
      </c>
    </row>
    <row r="95" spans="1:12" ht="4.95" customHeight="1" x14ac:dyDescent="0.3"/>
    <row r="96" spans="1:12" x14ac:dyDescent="0.3">
      <c r="D96" s="1" t="s">
        <v>108</v>
      </c>
      <c r="E96" s="14">
        <v>80</v>
      </c>
      <c r="F96" s="14">
        <f>E99</f>
        <v>80.90198181818181</v>
      </c>
      <c r="G96" s="14">
        <f t="shared" ref="G96:L96" si="35">F99</f>
        <v>77.178177282988628</v>
      </c>
      <c r="H96" s="14">
        <f t="shared" si="35"/>
        <v>75.76807540383102</v>
      </c>
      <c r="I96" s="14">
        <f t="shared" si="35"/>
        <v>74.619992515029111</v>
      </c>
      <c r="J96" s="14">
        <f t="shared" si="35"/>
        <v>74.644594413964597</v>
      </c>
      <c r="K96" s="14">
        <f t="shared" si="35"/>
        <v>74.551947810867432</v>
      </c>
      <c r="L96" s="14">
        <f t="shared" si="35"/>
        <v>75.196753029780695</v>
      </c>
    </row>
    <row r="97" spans="1:12" x14ac:dyDescent="0.3">
      <c r="D97" s="1" t="s">
        <v>31</v>
      </c>
      <c r="E97" s="14">
        <f>E91</f>
        <v>9.1</v>
      </c>
      <c r="F97" s="14">
        <f t="shared" ref="F97:L97" si="36">F91</f>
        <v>4.8515484962500004</v>
      </c>
      <c r="G97" s="14">
        <f t="shared" si="36"/>
        <v>7.0085731657124999</v>
      </c>
      <c r="H97" s="14">
        <f t="shared" si="36"/>
        <v>7.1430273906457735</v>
      </c>
      <c r="I97" s="14">
        <f t="shared" si="36"/>
        <v>8.318445722709324</v>
      </c>
      <c r="J97" s="14">
        <f t="shared" si="36"/>
        <v>8.1909031536658841</v>
      </c>
      <c r="K97" s="14">
        <f t="shared" si="36"/>
        <v>9</v>
      </c>
      <c r="L97" s="14">
        <f t="shared" si="36"/>
        <v>9</v>
      </c>
    </row>
    <row r="98" spans="1:12" x14ac:dyDescent="0.3">
      <c r="D98" s="1" t="s">
        <v>36</v>
      </c>
      <c r="E98" s="14">
        <f t="shared" ref="E98:L98" si="37">E43</f>
        <v>-8.1980181818181794</v>
      </c>
      <c r="F98" s="14">
        <f t="shared" si="37"/>
        <v>-8.5753530314431803</v>
      </c>
      <c r="G98" s="14">
        <f t="shared" si="37"/>
        <v>-8.4186750448701133</v>
      </c>
      <c r="H98" s="14">
        <f t="shared" si="37"/>
        <v>-8.291110279447679</v>
      </c>
      <c r="I98" s="14">
        <f t="shared" si="37"/>
        <v>-8.2938438237738445</v>
      </c>
      <c r="J98" s="14">
        <f t="shared" si="37"/>
        <v>-8.2835497567630476</v>
      </c>
      <c r="K98" s="14">
        <f t="shared" si="37"/>
        <v>-8.3551947810867429</v>
      </c>
      <c r="L98" s="14">
        <f t="shared" si="37"/>
        <v>-8.4196753029780691</v>
      </c>
    </row>
    <row r="99" spans="1:12" ht="16.2" thickBot="1" x14ac:dyDescent="0.35">
      <c r="D99" s="36" t="s">
        <v>109</v>
      </c>
      <c r="E99" s="44">
        <f>E96+E97+E98</f>
        <v>80.90198181818181</v>
      </c>
      <c r="F99" s="44">
        <f t="shared" ref="F99:L99" si="38">F96+F97+F98</f>
        <v>77.178177282988628</v>
      </c>
      <c r="G99" s="44">
        <f t="shared" si="38"/>
        <v>75.76807540383102</v>
      </c>
      <c r="H99" s="44">
        <f t="shared" si="38"/>
        <v>74.619992515029111</v>
      </c>
      <c r="I99" s="44">
        <f t="shared" si="38"/>
        <v>74.644594413964597</v>
      </c>
      <c r="J99" s="44">
        <f t="shared" si="38"/>
        <v>74.551947810867432</v>
      </c>
      <c r="K99" s="44">
        <f t="shared" si="38"/>
        <v>75.196753029780695</v>
      </c>
      <c r="L99" s="44">
        <f t="shared" si="38"/>
        <v>75.777077726802631</v>
      </c>
    </row>
    <row r="100" spans="1:12" x14ac:dyDescent="0.3">
      <c r="D100" s="75"/>
      <c r="E100" s="76"/>
      <c r="F100" s="76"/>
      <c r="G100" s="76"/>
      <c r="H100" s="76"/>
      <c r="I100" s="76"/>
      <c r="J100" s="76"/>
      <c r="K100" s="76"/>
      <c r="L100" s="76"/>
    </row>
    <row r="101" spans="1:12" x14ac:dyDescent="0.3">
      <c r="D101" s="75"/>
      <c r="E101" s="76"/>
      <c r="F101" s="76"/>
      <c r="G101" s="76"/>
      <c r="H101" s="76"/>
      <c r="I101" s="76"/>
      <c r="J101" s="76"/>
      <c r="K101" s="76"/>
      <c r="L101" s="76"/>
    </row>
    <row r="102" spans="1:12" s="21" customFormat="1" x14ac:dyDescent="0.3">
      <c r="A102" s="1"/>
      <c r="B102" s="19" t="s">
        <v>173</v>
      </c>
      <c r="C102" s="1"/>
      <c r="D102" s="20" t="s">
        <v>174</v>
      </c>
    </row>
    <row r="104" spans="1:12" x14ac:dyDescent="0.3">
      <c r="D104" s="3" t="s">
        <v>7</v>
      </c>
      <c r="E104" s="3"/>
      <c r="F104" s="3"/>
    </row>
    <row r="105" spans="1:12" ht="16.2" thickBot="1" x14ac:dyDescent="0.35">
      <c r="D105" s="4" t="s">
        <v>45</v>
      </c>
      <c r="E105" s="4">
        <v>2019</v>
      </c>
      <c r="F105" s="4">
        <v>2020</v>
      </c>
      <c r="G105" s="9" t="s">
        <v>2</v>
      </c>
      <c r="H105" s="9" t="s">
        <v>3</v>
      </c>
      <c r="I105" s="9" t="s">
        <v>4</v>
      </c>
      <c r="J105" s="9" t="s">
        <v>5</v>
      </c>
      <c r="K105" s="9" t="s">
        <v>24</v>
      </c>
      <c r="L105" s="9" t="s">
        <v>25</v>
      </c>
    </row>
    <row r="106" spans="1:12" x14ac:dyDescent="0.3">
      <c r="D106" s="1" t="s">
        <v>46</v>
      </c>
      <c r="E106" s="14">
        <f t="shared" ref="E106:L106" si="39">E99</f>
        <v>80.90198181818181</v>
      </c>
      <c r="F106" s="14">
        <f t="shared" si="39"/>
        <v>77.178177282988628</v>
      </c>
      <c r="G106" s="14">
        <f t="shared" si="39"/>
        <v>75.76807540383102</v>
      </c>
      <c r="H106" s="14">
        <f t="shared" si="39"/>
        <v>74.619992515029111</v>
      </c>
      <c r="I106" s="14">
        <f t="shared" si="39"/>
        <v>74.644594413964597</v>
      </c>
      <c r="J106" s="14">
        <f t="shared" si="39"/>
        <v>74.551947810867432</v>
      </c>
      <c r="K106" s="14">
        <f t="shared" si="39"/>
        <v>75.196753029780695</v>
      </c>
      <c r="L106" s="14">
        <f t="shared" si="39"/>
        <v>75.777077726802631</v>
      </c>
    </row>
    <row r="107" spans="1:12" x14ac:dyDescent="0.3">
      <c r="D107" s="1" t="s">
        <v>28</v>
      </c>
      <c r="E107" s="14">
        <f>E73</f>
        <v>22.544549999999997</v>
      </c>
      <c r="F107" s="14">
        <f t="shared" ref="F107:L107" si="40">F73</f>
        <v>17.776377675000006</v>
      </c>
      <c r="G107" s="14">
        <f t="shared" si="40"/>
        <v>19.708818064753125</v>
      </c>
      <c r="H107" s="14">
        <f t="shared" si="40"/>
        <v>21.845053514314074</v>
      </c>
      <c r="I107" s="14">
        <f t="shared" si="40"/>
        <v>23.707570309721575</v>
      </c>
      <c r="J107" s="14">
        <f t="shared" si="40"/>
        <v>25.482809811404973</v>
      </c>
      <c r="K107" s="14">
        <f t="shared" si="40"/>
        <v>27.315296866950106</v>
      </c>
      <c r="L107" s="14">
        <f t="shared" si="40"/>
        <v>28.996329900318351</v>
      </c>
    </row>
    <row r="108" spans="1:12" ht="16.2" thickBot="1" x14ac:dyDescent="0.35">
      <c r="D108" s="51" t="s">
        <v>32</v>
      </c>
      <c r="E108" s="52">
        <f>SUM(E106:E107)</f>
        <v>103.44653181818181</v>
      </c>
      <c r="F108" s="52">
        <f t="shared" ref="F108:L108" si="41">SUM(F106:F107)</f>
        <v>94.954554957988634</v>
      </c>
      <c r="G108" s="52">
        <f t="shared" si="41"/>
        <v>95.476893468584137</v>
      </c>
      <c r="H108" s="52">
        <f t="shared" si="41"/>
        <v>96.465046029343185</v>
      </c>
      <c r="I108" s="52">
        <f t="shared" si="41"/>
        <v>98.352164723686172</v>
      </c>
      <c r="J108" s="52">
        <f t="shared" si="41"/>
        <v>100.03475762227241</v>
      </c>
      <c r="K108" s="52">
        <f t="shared" si="41"/>
        <v>102.5120498967308</v>
      </c>
      <c r="L108" s="52">
        <f t="shared" si="41"/>
        <v>104.77340762712097</v>
      </c>
    </row>
    <row r="110" spans="1:12" s="21" customFormat="1" x14ac:dyDescent="0.3">
      <c r="A110" s="1"/>
      <c r="B110" s="19" t="s">
        <v>175</v>
      </c>
      <c r="C110" s="1"/>
      <c r="D110" s="20" t="s">
        <v>176</v>
      </c>
    </row>
    <row r="112" spans="1:12" x14ac:dyDescent="0.3">
      <c r="D112" s="3" t="s">
        <v>7</v>
      </c>
      <c r="E112" s="3"/>
      <c r="F112" s="3"/>
    </row>
    <row r="113" spans="4:20" ht="16.2" thickBot="1" x14ac:dyDescent="0.35">
      <c r="D113" s="4" t="s">
        <v>54</v>
      </c>
      <c r="E113" s="4">
        <v>2019</v>
      </c>
      <c r="F113" s="4">
        <v>2020</v>
      </c>
      <c r="G113" s="9" t="s">
        <v>2</v>
      </c>
      <c r="H113" s="9" t="s">
        <v>3</v>
      </c>
      <c r="I113" s="9" t="s">
        <v>4</v>
      </c>
      <c r="J113" s="9" t="s">
        <v>5</v>
      </c>
      <c r="K113" s="9" t="s">
        <v>24</v>
      </c>
      <c r="L113" s="9" t="s">
        <v>25</v>
      </c>
    </row>
    <row r="114" spans="4:20" ht="4.95" customHeight="1" x14ac:dyDescent="0.3">
      <c r="G114" s="10"/>
      <c r="H114" s="10"/>
      <c r="I114" s="10"/>
      <c r="J114" s="10"/>
      <c r="K114" s="10"/>
      <c r="L114" s="10"/>
    </row>
    <row r="115" spans="4:20" x14ac:dyDescent="0.3">
      <c r="D115" s="1" t="s">
        <v>14</v>
      </c>
      <c r="E115" s="14">
        <f t="shared" ref="E115:L115" si="42">E24</f>
        <v>20.898779999999995</v>
      </c>
      <c r="F115" s="14">
        <f t="shared" si="42"/>
        <v>7.5264518966085632</v>
      </c>
      <c r="G115" s="14">
        <f t="shared" si="42"/>
        <v>14.842540711942483</v>
      </c>
      <c r="H115" s="14">
        <f t="shared" si="42"/>
        <v>18.75468299670262</v>
      </c>
      <c r="I115" s="14">
        <f t="shared" si="42"/>
        <v>26.102651199092435</v>
      </c>
      <c r="J115" s="14">
        <f t="shared" si="42"/>
        <v>33.327520810659358</v>
      </c>
      <c r="K115" s="14">
        <f t="shared" si="42"/>
        <v>40.620831061881134</v>
      </c>
      <c r="L115" s="14">
        <f t="shared" si="42"/>
        <v>48.407814246793684</v>
      </c>
    </row>
    <row r="116" spans="4:20" x14ac:dyDescent="0.3">
      <c r="D116" s="1" t="s">
        <v>38</v>
      </c>
      <c r="E116" s="14">
        <f>E47</f>
        <v>-3.2289127309090904</v>
      </c>
      <c r="F116" s="14">
        <f t="shared" ref="F116:L116" si="43">F47</f>
        <v>0</v>
      </c>
      <c r="G116" s="14">
        <f t="shared" si="43"/>
        <v>-1.4713818085984456</v>
      </c>
      <c r="H116" s="14">
        <f t="shared" si="43"/>
        <v>-2.6024997826495655</v>
      </c>
      <c r="I116" s="14">
        <f t="shared" si="43"/>
        <v>-4.6591654869073871</v>
      </c>
      <c r="J116" s="14">
        <f t="shared" si="43"/>
        <v>-6.685011316909149</v>
      </c>
      <c r="K116" s="14">
        <f t="shared" si="43"/>
        <v>-9.0343781586224292</v>
      </c>
      <c r="L116" s="14">
        <f t="shared" si="43"/>
        <v>-11.196678904268373</v>
      </c>
      <c r="M116" s="14"/>
      <c r="N116" s="136"/>
      <c r="O116" s="136"/>
      <c r="P116" s="136"/>
      <c r="Q116" s="136"/>
      <c r="R116" s="136"/>
      <c r="S116" s="136"/>
      <c r="T116" s="136"/>
    </row>
    <row r="117" spans="4:20" x14ac:dyDescent="0.3">
      <c r="D117" s="1" t="s">
        <v>165</v>
      </c>
      <c r="E117" s="14">
        <f>-E91</f>
        <v>-9.1</v>
      </c>
      <c r="F117" s="14">
        <f t="shared" ref="F117:L117" si="44">-F91</f>
        <v>-4.8515484962500004</v>
      </c>
      <c r="G117" s="14">
        <f t="shared" si="44"/>
        <v>-7.0085731657124999</v>
      </c>
      <c r="H117" s="14">
        <f t="shared" si="44"/>
        <v>-7.1430273906457735</v>
      </c>
      <c r="I117" s="14">
        <f t="shared" si="44"/>
        <v>-8.318445722709324</v>
      </c>
      <c r="J117" s="14">
        <f t="shared" si="44"/>
        <v>-8.1909031536658841</v>
      </c>
      <c r="K117" s="14">
        <f t="shared" si="44"/>
        <v>-9</v>
      </c>
      <c r="L117" s="14">
        <f t="shared" si="44"/>
        <v>-9</v>
      </c>
    </row>
    <row r="118" spans="4:20" x14ac:dyDescent="0.3">
      <c r="D118" s="1" t="s">
        <v>29</v>
      </c>
      <c r="E118" s="14">
        <f>-1</f>
        <v>-1</v>
      </c>
      <c r="F118" s="14">
        <f>-(F107-E107)</f>
        <v>4.7681723249999912</v>
      </c>
      <c r="G118" s="14">
        <f t="shared" ref="G118:L118" si="45">-(G107-F107)</f>
        <v>-1.9324403897531184</v>
      </c>
      <c r="H118" s="14">
        <f t="shared" si="45"/>
        <v>-2.1362354495609495</v>
      </c>
      <c r="I118" s="14">
        <f t="shared" si="45"/>
        <v>-1.862516795407501</v>
      </c>
      <c r="J118" s="14">
        <f t="shared" si="45"/>
        <v>-1.7752395016833979</v>
      </c>
      <c r="K118" s="14">
        <f t="shared" si="45"/>
        <v>-1.8324870555451334</v>
      </c>
      <c r="L118" s="14">
        <f t="shared" si="45"/>
        <v>-1.6810330333682444</v>
      </c>
    </row>
    <row r="119" spans="4:20" ht="4.95" customHeight="1" x14ac:dyDescent="0.3">
      <c r="E119" s="14"/>
      <c r="F119" s="14"/>
      <c r="G119" s="14"/>
      <c r="H119" s="14"/>
      <c r="I119" s="14"/>
      <c r="J119" s="14"/>
      <c r="K119" s="14"/>
      <c r="L119" s="14"/>
    </row>
    <row r="120" spans="4:20" ht="16.2" thickBot="1" x14ac:dyDescent="0.35">
      <c r="D120" s="36" t="s">
        <v>58</v>
      </c>
      <c r="E120" s="44">
        <f>SUM(E115:E118)</f>
        <v>7.5698672690909046</v>
      </c>
      <c r="F120" s="44">
        <f>SUM(F115:F118)</f>
        <v>7.443075725358554</v>
      </c>
      <c r="G120" s="44">
        <f t="shared" ref="G120:L120" si="46">SUM(G115:G118)</f>
        <v>4.430145347878419</v>
      </c>
      <c r="H120" s="44">
        <f t="shared" si="46"/>
        <v>6.8729203738463305</v>
      </c>
      <c r="I120" s="44">
        <f t="shared" si="46"/>
        <v>11.262523194068223</v>
      </c>
      <c r="J120" s="44">
        <f t="shared" si="46"/>
        <v>16.676366838400927</v>
      </c>
      <c r="K120" s="44">
        <f t="shared" si="46"/>
        <v>20.75396584771357</v>
      </c>
      <c r="L120" s="44">
        <f t="shared" si="46"/>
        <v>26.530102309157066</v>
      </c>
    </row>
    <row r="121" spans="4:20" ht="4.95" customHeight="1" x14ac:dyDescent="0.3">
      <c r="E121" s="14"/>
      <c r="F121" s="14"/>
      <c r="G121" s="14"/>
      <c r="H121" s="14"/>
      <c r="I121" s="14"/>
      <c r="J121" s="14"/>
      <c r="K121" s="14"/>
      <c r="L121" s="14"/>
    </row>
    <row r="122" spans="4:20" x14ac:dyDescent="0.3">
      <c r="D122" s="1" t="s">
        <v>39</v>
      </c>
      <c r="E122" s="14">
        <v>-1.1689306363636363</v>
      </c>
      <c r="F122" s="14">
        <v>-1.1689306363636363</v>
      </c>
      <c r="G122" s="14">
        <v>-1.1689306363636363</v>
      </c>
      <c r="H122" s="14">
        <v>-1.1689306363636363</v>
      </c>
      <c r="I122" s="14">
        <v>-1.1689306363636363</v>
      </c>
      <c r="J122" s="14">
        <v>-1.1689306363636363</v>
      </c>
      <c r="K122" s="14">
        <v>0</v>
      </c>
      <c r="L122" s="14">
        <v>0</v>
      </c>
      <c r="M122" s="14"/>
      <c r="N122" s="14"/>
      <c r="O122" s="14"/>
      <c r="P122" s="14"/>
      <c r="Q122" s="14"/>
      <c r="R122" s="14"/>
      <c r="S122" s="14"/>
    </row>
    <row r="123" spans="4:20" x14ac:dyDescent="0.3">
      <c r="D123" s="1" t="s">
        <v>50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/>
      <c r="N123" s="14"/>
      <c r="O123" s="14"/>
      <c r="P123" s="14"/>
      <c r="Q123" s="14"/>
      <c r="R123" s="14"/>
      <c r="S123" s="14"/>
    </row>
    <row r="124" spans="4:20" x14ac:dyDescent="0.3">
      <c r="D124" s="1" t="s">
        <v>146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/>
      <c r="N124" s="14"/>
      <c r="O124" s="14"/>
      <c r="P124" s="14"/>
      <c r="Q124" s="14"/>
      <c r="R124" s="14"/>
      <c r="S124" s="14"/>
    </row>
    <row r="125" spans="4:20" x14ac:dyDescent="0.3">
      <c r="D125" s="5" t="s">
        <v>40</v>
      </c>
      <c r="E125" s="16">
        <v>-2.9090005514181811</v>
      </c>
      <c r="F125" s="16">
        <v>0</v>
      </c>
      <c r="G125" s="16">
        <v>-1.1376194754330864</v>
      </c>
      <c r="H125" s="16">
        <v>-2.3452288979846085</v>
      </c>
      <c r="I125" s="16">
        <v>-4.4959586055178367</v>
      </c>
      <c r="J125" s="16">
        <v>-6.8794163186494108</v>
      </c>
      <c r="K125" s="16">
        <v>-9.8732847019230832</v>
      </c>
      <c r="L125" s="16">
        <v>-12.95615701779626</v>
      </c>
      <c r="M125" s="14"/>
      <c r="N125" s="14"/>
      <c r="O125" s="14"/>
      <c r="P125" s="14"/>
      <c r="Q125" s="14"/>
      <c r="R125" s="14"/>
      <c r="S125" s="14"/>
    </row>
    <row r="126" spans="4:20" ht="16.2" thickBot="1" x14ac:dyDescent="0.35">
      <c r="D126" s="36" t="s">
        <v>76</v>
      </c>
      <c r="E126" s="44">
        <f>SUM(E120:E125)</f>
        <v>3.4919360813090874</v>
      </c>
      <c r="F126" s="44">
        <f>SUM(F120:F125)</f>
        <v>6.274145088994918</v>
      </c>
      <c r="G126" s="44">
        <f t="shared" ref="G126:L126" si="47">SUM(G120:G125)</f>
        <v>2.1235952360816963</v>
      </c>
      <c r="H126" s="44">
        <f t="shared" si="47"/>
        <v>3.3587608394980859</v>
      </c>
      <c r="I126" s="44">
        <f t="shared" si="47"/>
        <v>5.5976339521867491</v>
      </c>
      <c r="J126" s="44">
        <f t="shared" si="47"/>
        <v>8.6280198833878785</v>
      </c>
      <c r="K126" s="44">
        <f t="shared" si="47"/>
        <v>10.880681145790486</v>
      </c>
      <c r="L126" s="44">
        <f t="shared" si="47"/>
        <v>13.573945291360806</v>
      </c>
      <c r="M126" s="14"/>
      <c r="N126" s="14"/>
      <c r="O126" s="14"/>
      <c r="P126" s="14"/>
      <c r="Q126" s="14"/>
      <c r="R126" s="14"/>
      <c r="S126" s="14"/>
    </row>
    <row r="127" spans="4:20" x14ac:dyDescent="0.3"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</row>
    <row r="130" spans="1:12" s="21" customFormat="1" x14ac:dyDescent="0.3">
      <c r="A130" s="1"/>
      <c r="B130" s="19" t="s">
        <v>179</v>
      </c>
      <c r="C130" s="1"/>
      <c r="D130" s="20" t="s">
        <v>102</v>
      </c>
    </row>
    <row r="132" spans="1:12" x14ac:dyDescent="0.3">
      <c r="D132" s="3" t="s">
        <v>7</v>
      </c>
      <c r="E132" s="3"/>
      <c r="F132" s="3"/>
    </row>
    <row r="133" spans="1:12" ht="16.2" thickBot="1" x14ac:dyDescent="0.35">
      <c r="D133" s="4" t="s">
        <v>103</v>
      </c>
      <c r="E133" s="4">
        <v>2019</v>
      </c>
      <c r="F133" s="4">
        <v>2020</v>
      </c>
      <c r="G133" s="9" t="s">
        <v>2</v>
      </c>
      <c r="H133" s="9" t="s">
        <v>3</v>
      </c>
      <c r="I133" s="9" t="s">
        <v>4</v>
      </c>
      <c r="J133" s="9" t="s">
        <v>5</v>
      </c>
      <c r="K133" s="9" t="s">
        <v>24</v>
      </c>
      <c r="L133" s="9" t="s">
        <v>25</v>
      </c>
    </row>
    <row r="134" spans="1:12" ht="4.95" customHeight="1" x14ac:dyDescent="0.3"/>
    <row r="135" spans="1:12" x14ac:dyDescent="0.3">
      <c r="D135" s="1" t="s">
        <v>104</v>
      </c>
      <c r="E135" s="14">
        <f t="shared" ref="E135:L135" si="48">E27+E29</f>
        <v>9.1445485090909067</v>
      </c>
      <c r="F135" s="14">
        <f t="shared" si="48"/>
        <v>-0.75520881708092436</v>
      </c>
      <c r="G135" s="14">
        <f t="shared" si="48"/>
        <v>4.6251832802921058</v>
      </c>
      <c r="H135" s="14">
        <f t="shared" si="48"/>
        <v>7.5337723564235572</v>
      </c>
      <c r="I135" s="14">
        <f t="shared" si="48"/>
        <v>12.822341310229383</v>
      </c>
      <c r="J135" s="14">
        <f t="shared" si="48"/>
        <v>18.031659158805343</v>
      </c>
      <c r="K135" s="14">
        <f t="shared" si="48"/>
        <v>23.231258122171958</v>
      </c>
      <c r="L135" s="14">
        <f t="shared" si="48"/>
        <v>28.791460039547239</v>
      </c>
    </row>
    <row r="136" spans="1:12" x14ac:dyDescent="0.3">
      <c r="D136" s="5" t="s">
        <v>9</v>
      </c>
      <c r="E136" s="16">
        <f t="shared" ref="E136:L136" si="49">E38</f>
        <v>150.297</v>
      </c>
      <c r="F136" s="16">
        <f t="shared" si="49"/>
        <v>118.50918449999999</v>
      </c>
      <c r="G136" s="16">
        <f t="shared" si="49"/>
        <v>133.61910552374999</v>
      </c>
      <c r="H136" s="16">
        <f t="shared" si="49"/>
        <v>150.65554147802811</v>
      </c>
      <c r="I136" s="16">
        <f t="shared" si="49"/>
        <v>166.36891445418644</v>
      </c>
      <c r="J136" s="16">
        <f t="shared" si="49"/>
        <v>182.02007008146404</v>
      </c>
      <c r="K136" s="16">
        <f t="shared" si="49"/>
        <v>198.65670448690989</v>
      </c>
      <c r="L136" s="16">
        <f t="shared" si="49"/>
        <v>214.78762889124701</v>
      </c>
    </row>
    <row r="137" spans="1:12" x14ac:dyDescent="0.3">
      <c r="D137" s="45" t="s">
        <v>106</v>
      </c>
      <c r="E137" s="124">
        <f>E135/E136</f>
        <v>6.0843187216583876E-2</v>
      </c>
      <c r="F137" s="124">
        <f t="shared" ref="F137:L137" si="50">F135/F136</f>
        <v>-6.3725762713431246E-3</v>
      </c>
      <c r="G137" s="124">
        <f t="shared" si="50"/>
        <v>3.4614685244020039E-2</v>
      </c>
      <c r="H137" s="124">
        <f t="shared" si="50"/>
        <v>5.0006606345258775E-2</v>
      </c>
      <c r="I137" s="124">
        <f t="shared" si="50"/>
        <v>7.7071737543616139E-2</v>
      </c>
      <c r="J137" s="124">
        <f t="shared" si="50"/>
        <v>9.9064126009484443E-2</v>
      </c>
      <c r="K137" s="124">
        <f t="shared" si="50"/>
        <v>0.11694172709737435</v>
      </c>
      <c r="L137" s="124">
        <f t="shared" si="50"/>
        <v>0.13404617476421402</v>
      </c>
    </row>
    <row r="138" spans="1:12" ht="4.95" customHeight="1" x14ac:dyDescent="0.3"/>
    <row r="139" spans="1:12" x14ac:dyDescent="0.3">
      <c r="D139" s="1" t="s">
        <v>9</v>
      </c>
      <c r="E139" s="14">
        <f>E136</f>
        <v>150.297</v>
      </c>
      <c r="F139" s="14">
        <f t="shared" ref="F139:L139" si="51">F136</f>
        <v>118.50918449999999</v>
      </c>
      <c r="G139" s="14">
        <f t="shared" si="51"/>
        <v>133.61910552374999</v>
      </c>
      <c r="H139" s="14">
        <f t="shared" si="51"/>
        <v>150.65554147802811</v>
      </c>
      <c r="I139" s="14">
        <f t="shared" si="51"/>
        <v>166.36891445418644</v>
      </c>
      <c r="J139" s="14">
        <f t="shared" si="51"/>
        <v>182.02007008146404</v>
      </c>
      <c r="K139" s="14">
        <f t="shared" si="51"/>
        <v>198.65670448690989</v>
      </c>
      <c r="L139" s="14">
        <f t="shared" si="51"/>
        <v>214.78762889124701</v>
      </c>
    </row>
    <row r="140" spans="1:12" x14ac:dyDescent="0.3">
      <c r="D140" s="5" t="s">
        <v>32</v>
      </c>
      <c r="E140" s="86">
        <f t="shared" ref="E140:L140" si="52">E108</f>
        <v>103.44653181818181</v>
      </c>
      <c r="F140" s="86">
        <f t="shared" si="52"/>
        <v>94.954554957988634</v>
      </c>
      <c r="G140" s="86">
        <f t="shared" si="52"/>
        <v>95.476893468584137</v>
      </c>
      <c r="H140" s="86">
        <f t="shared" si="52"/>
        <v>96.465046029343185</v>
      </c>
      <c r="I140" s="86">
        <f t="shared" si="52"/>
        <v>98.352164723686172</v>
      </c>
      <c r="J140" s="86">
        <f t="shared" si="52"/>
        <v>100.03475762227241</v>
      </c>
      <c r="K140" s="86">
        <f t="shared" si="52"/>
        <v>102.5120498967308</v>
      </c>
      <c r="L140" s="86">
        <f t="shared" si="52"/>
        <v>104.77340762712097</v>
      </c>
    </row>
    <row r="141" spans="1:12" x14ac:dyDescent="0.3">
      <c r="D141" s="45" t="s">
        <v>166</v>
      </c>
      <c r="E141" s="87">
        <f>E139/E140</f>
        <v>1.4528954944972232</v>
      </c>
      <c r="F141" s="87">
        <f t="shared" ref="F141:L141" si="53">F139/F140</f>
        <v>1.2480621340643721</v>
      </c>
      <c r="G141" s="87">
        <f t="shared" si="53"/>
        <v>1.3994915488920492</v>
      </c>
      <c r="H141" s="87">
        <f t="shared" si="53"/>
        <v>1.5617630186192106</v>
      </c>
      <c r="I141" s="87">
        <f t="shared" si="53"/>
        <v>1.6915633216776547</v>
      </c>
      <c r="J141" s="87">
        <f t="shared" si="53"/>
        <v>1.8195682621510934</v>
      </c>
      <c r="K141" s="87">
        <f t="shared" si="53"/>
        <v>1.9378863722560797</v>
      </c>
      <c r="L141" s="87">
        <f t="shared" si="53"/>
        <v>2.0500204561032951</v>
      </c>
    </row>
    <row r="142" spans="1:12" ht="4.95" customHeight="1" x14ac:dyDescent="0.3">
      <c r="D142" s="84"/>
      <c r="E142" s="84"/>
      <c r="F142" s="84"/>
      <c r="G142" s="84"/>
      <c r="H142" s="84"/>
      <c r="I142" s="84"/>
      <c r="J142" s="84"/>
      <c r="K142" s="84"/>
      <c r="L142" s="84"/>
    </row>
    <row r="143" spans="1:12" x14ac:dyDescent="0.3">
      <c r="D143" s="78" t="s">
        <v>26</v>
      </c>
      <c r="E143" s="123">
        <f>E137*E141</f>
        <v>8.8398792577825763E-2</v>
      </c>
      <c r="F143" s="123">
        <f t="shared" ref="F143:L143" si="54">F137*F141</f>
        <v>-7.9533711407004798E-3</v>
      </c>
      <c r="G143" s="123">
        <f t="shared" si="54"/>
        <v>4.8442959466564364E-2</v>
      </c>
      <c r="H143" s="123">
        <f t="shared" si="54"/>
        <v>7.8098468476673913E-2</v>
      </c>
      <c r="I143" s="123">
        <f t="shared" si="54"/>
        <v>0.13037172436674771</v>
      </c>
      <c r="J143" s="123">
        <f t="shared" si="54"/>
        <v>0.18025393960459454</v>
      </c>
      <c r="K143" s="123">
        <f t="shared" si="54"/>
        <v>0.22661977929009128</v>
      </c>
      <c r="L143" s="123">
        <f t="shared" si="54"/>
        <v>0.27479740032903605</v>
      </c>
    </row>
    <row r="144" spans="1:12" ht="4.95" customHeight="1" thickBot="1" x14ac:dyDescent="0.35">
      <c r="D144" s="89"/>
      <c r="E144" s="89"/>
      <c r="F144" s="89"/>
      <c r="G144" s="89"/>
      <c r="H144" s="89"/>
      <c r="I144" s="89"/>
      <c r="J144" s="89"/>
      <c r="K144" s="89"/>
      <c r="L144" s="89"/>
    </row>
    <row r="147" spans="1:13" s="21" customFormat="1" x14ac:dyDescent="0.3">
      <c r="A147" s="1"/>
      <c r="B147" s="19" t="s">
        <v>180</v>
      </c>
      <c r="C147" s="1"/>
      <c r="D147" s="20" t="s">
        <v>102</v>
      </c>
    </row>
    <row r="149" spans="1:13" x14ac:dyDescent="0.3">
      <c r="D149" s="3" t="s">
        <v>7</v>
      </c>
      <c r="E149" s="3"/>
      <c r="F149" s="3"/>
    </row>
    <row r="150" spans="1:13" ht="16.2" thickBot="1" x14ac:dyDescent="0.35">
      <c r="D150" s="4" t="s">
        <v>45</v>
      </c>
      <c r="E150" s="4">
        <v>2019</v>
      </c>
      <c r="F150" s="4">
        <v>2020</v>
      </c>
      <c r="G150" s="9" t="s">
        <v>2</v>
      </c>
      <c r="H150" s="9" t="s">
        <v>3</v>
      </c>
      <c r="I150" s="9" t="s">
        <v>4</v>
      </c>
      <c r="J150" s="9" t="s">
        <v>5</v>
      </c>
      <c r="K150" s="9" t="s">
        <v>24</v>
      </c>
      <c r="L150" s="9" t="s">
        <v>25</v>
      </c>
    </row>
    <row r="151" spans="1:13" x14ac:dyDescent="0.3">
      <c r="D151" s="23" t="s">
        <v>47</v>
      </c>
      <c r="E151" s="26">
        <v>45</v>
      </c>
      <c r="F151" s="26">
        <f t="shared" ref="F151:L151" si="55">E151+F48+F125</f>
        <v>42.782168228801744</v>
      </c>
      <c r="G151" s="26">
        <f t="shared" si="55"/>
        <v>45.428101975478945</v>
      </c>
      <c r="H151" s="26">
        <f t="shared" si="55"/>
        <v>49.775015375736075</v>
      </c>
      <c r="I151" s="26">
        <f t="shared" si="55"/>
        <v>57.25976802226581</v>
      </c>
      <c r="J151" s="26">
        <f t="shared" si="55"/>
        <v>67.570380804239932</v>
      </c>
      <c r="K151" s="26">
        <f t="shared" si="55"/>
        <v>80.928354224488814</v>
      </c>
      <c r="L151" s="26">
        <f t="shared" si="55"/>
        <v>96.763657246239788</v>
      </c>
    </row>
    <row r="152" spans="1:13" x14ac:dyDescent="0.3">
      <c r="D152" s="5" t="s">
        <v>160</v>
      </c>
      <c r="E152" s="16">
        <v>58.446531818181811</v>
      </c>
      <c r="F152" s="16">
        <f t="shared" ref="F152:L152" si="56">E152-F126</f>
        <v>52.17238672918689</v>
      </c>
      <c r="G152" s="16">
        <f t="shared" si="56"/>
        <v>50.048791493105192</v>
      </c>
      <c r="H152" s="16">
        <f t="shared" si="56"/>
        <v>46.690030653607103</v>
      </c>
      <c r="I152" s="16">
        <f t="shared" si="56"/>
        <v>41.092396701420355</v>
      </c>
      <c r="J152" s="16">
        <f t="shared" si="56"/>
        <v>32.464376818032477</v>
      </c>
      <c r="K152" s="16">
        <f t="shared" si="56"/>
        <v>21.583695672241991</v>
      </c>
      <c r="L152" s="16">
        <f t="shared" si="56"/>
        <v>8.0097503808811847</v>
      </c>
    </row>
    <row r="153" spans="1:13" ht="16.2" thickBot="1" x14ac:dyDescent="0.35">
      <c r="D153" s="51" t="s">
        <v>27</v>
      </c>
      <c r="E153" s="52">
        <f>E108</f>
        <v>103.44653181818181</v>
      </c>
      <c r="F153" s="52">
        <f>SUM(F151:F152)</f>
        <v>94.954554957988634</v>
      </c>
      <c r="G153" s="52">
        <f>SUM(G151:G152)</f>
        <v>95.476893468584137</v>
      </c>
      <c r="H153" s="52">
        <f>SUM(H151:H152)</f>
        <v>96.465046029343171</v>
      </c>
      <c r="I153" s="52">
        <f t="shared" ref="I153:L153" si="57">SUM(I151:I152)</f>
        <v>98.352164723686172</v>
      </c>
      <c r="J153" s="52">
        <f t="shared" si="57"/>
        <v>100.03475762227241</v>
      </c>
      <c r="K153" s="52">
        <f t="shared" si="57"/>
        <v>102.5120498967308</v>
      </c>
      <c r="L153" s="52">
        <f t="shared" si="57"/>
        <v>104.77340762712097</v>
      </c>
    </row>
    <row r="154" spans="1:13" x14ac:dyDescent="0.3">
      <c r="E154" s="74"/>
      <c r="F154" s="74"/>
      <c r="G154" s="74"/>
      <c r="H154" s="74"/>
      <c r="I154" s="74"/>
      <c r="J154" s="74"/>
      <c r="K154" s="74"/>
      <c r="L154" s="74"/>
      <c r="M154" s="74"/>
    </row>
    <row r="155" spans="1:13" ht="16.2" thickBot="1" x14ac:dyDescent="0.35">
      <c r="D155" s="59" t="s">
        <v>118</v>
      </c>
      <c r="E155" s="60"/>
      <c r="F155" s="60"/>
      <c r="G155" s="60"/>
      <c r="H155" s="60"/>
      <c r="I155" s="60"/>
      <c r="J155" s="60"/>
      <c r="K155" s="60"/>
      <c r="L155" s="60"/>
    </row>
    <row r="156" spans="1:13" ht="16.2" thickBot="1" x14ac:dyDescent="0.35">
      <c r="D156" s="17" t="s">
        <v>159</v>
      </c>
      <c r="E156" s="109">
        <f t="shared" ref="E156:L156" si="58">E152/E24</f>
        <v>2.7966480253001289</v>
      </c>
      <c r="F156" s="109">
        <f t="shared" si="58"/>
        <v>6.9318700824615496</v>
      </c>
      <c r="G156" s="109">
        <f t="shared" si="58"/>
        <v>3.3719827665916622</v>
      </c>
      <c r="H156" s="109">
        <f t="shared" si="58"/>
        <v>2.4895131878163963</v>
      </c>
      <c r="I156" s="109">
        <f t="shared" si="58"/>
        <v>1.5742614184282209</v>
      </c>
      <c r="J156" s="110">
        <f t="shared" si="58"/>
        <v>0.97410116409406555</v>
      </c>
      <c r="K156" s="111">
        <f t="shared" si="58"/>
        <v>0.53134549707665335</v>
      </c>
      <c r="L156" s="111">
        <f t="shared" si="58"/>
        <v>0.16546399595829128</v>
      </c>
    </row>
    <row r="158" spans="1:13" x14ac:dyDescent="0.3">
      <c r="G158" s="57"/>
      <c r="H158" s="57"/>
      <c r="I158" s="57"/>
      <c r="J158" s="57"/>
      <c r="K158" s="57"/>
      <c r="L158" s="57"/>
    </row>
    <row r="159" spans="1:13" x14ac:dyDescent="0.3">
      <c r="E159" s="14"/>
      <c r="F159" s="14"/>
      <c r="G159" s="14"/>
      <c r="H159" s="14"/>
      <c r="I159" s="14"/>
      <c r="J159" s="14"/>
      <c r="K159" s="14"/>
      <c r="L159" s="14"/>
    </row>
    <row r="160" spans="1:13" x14ac:dyDescent="0.3">
      <c r="E160" s="14"/>
      <c r="F160" s="14"/>
      <c r="G160" s="14"/>
      <c r="H160" s="14"/>
      <c r="I160" s="14"/>
      <c r="J160" s="14"/>
      <c r="K160" s="14"/>
      <c r="L160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9171C-08F6-A746-858E-4AC94B066D86}">
  <dimension ref="A2:S84"/>
  <sheetViews>
    <sheetView showGridLines="0" topLeftCell="A31" zoomScale="87" zoomScaleNormal="90" workbookViewId="0">
      <selection activeCell="C53" sqref="C53"/>
    </sheetView>
  </sheetViews>
  <sheetFormatPr baseColWidth="10" defaultColWidth="10.796875" defaultRowHeight="15.6" x14ac:dyDescent="0.3"/>
  <cols>
    <col min="1" max="3" width="5.796875" style="1" customWidth="1"/>
    <col min="4" max="4" width="54.296875" style="1" customWidth="1"/>
    <col min="5" max="5" width="10.796875" style="1" customWidth="1"/>
    <col min="6" max="12" width="10.796875" style="1"/>
    <col min="13" max="19" width="12.69921875" style="1" bestFit="1" customWidth="1"/>
    <col min="20" max="16384" width="10.796875" style="1"/>
  </cols>
  <sheetData>
    <row r="2" spans="1:14" s="21" customFormat="1" x14ac:dyDescent="0.3">
      <c r="A2" s="1"/>
      <c r="B2" s="19">
        <v>1</v>
      </c>
      <c r="C2" s="1"/>
      <c r="D2" s="20" t="s">
        <v>181</v>
      </c>
      <c r="E2" s="20"/>
    </row>
    <row r="4" spans="1:14" x14ac:dyDescent="0.3">
      <c r="D4" s="3" t="s">
        <v>7</v>
      </c>
      <c r="E4" s="3"/>
      <c r="F4" s="3"/>
    </row>
    <row r="5" spans="1:14" ht="16.2" thickBot="1" x14ac:dyDescent="0.35">
      <c r="D5" s="4"/>
      <c r="E5" s="4">
        <v>2019</v>
      </c>
      <c r="F5" s="4">
        <v>2020</v>
      </c>
      <c r="G5" s="9" t="s">
        <v>2</v>
      </c>
      <c r="H5" s="9" t="s">
        <v>3</v>
      </c>
      <c r="I5" s="9" t="s">
        <v>4</v>
      </c>
      <c r="J5" s="9" t="s">
        <v>5</v>
      </c>
      <c r="K5" s="9" t="s">
        <v>24</v>
      </c>
      <c r="L5" s="9" t="s">
        <v>25</v>
      </c>
      <c r="N5" s="50"/>
    </row>
    <row r="6" spans="1:14" ht="7.95" customHeight="1" x14ac:dyDescent="0.3">
      <c r="G6" s="10"/>
      <c r="H6" s="10"/>
      <c r="I6" s="10"/>
      <c r="J6" s="10"/>
      <c r="K6" s="10"/>
      <c r="L6" s="10"/>
    </row>
    <row r="7" spans="1:14" x14ac:dyDescent="0.3">
      <c r="D7" s="1" t="s">
        <v>55</v>
      </c>
      <c r="E7" s="11">
        <v>35.700000000000003</v>
      </c>
      <c r="F7" s="11">
        <f t="shared" ref="F7:L7" si="0">E7*(1+F8)</f>
        <v>29.631</v>
      </c>
      <c r="G7" s="11">
        <f t="shared" si="0"/>
        <v>31.408860000000001</v>
      </c>
      <c r="H7" s="11">
        <f t="shared" si="0"/>
        <v>33.607480200000005</v>
      </c>
      <c r="I7" s="11">
        <f t="shared" si="0"/>
        <v>36.29607861600001</v>
      </c>
      <c r="J7" s="11">
        <f t="shared" si="0"/>
        <v>39.199764905280013</v>
      </c>
      <c r="K7" s="11">
        <f t="shared" si="0"/>
        <v>41.159753150544013</v>
      </c>
      <c r="L7" s="11">
        <f t="shared" si="0"/>
        <v>43.217740808071213</v>
      </c>
      <c r="N7" s="50"/>
    </row>
    <row r="8" spans="1:14" x14ac:dyDescent="0.3">
      <c r="D8" s="2" t="s">
        <v>8</v>
      </c>
      <c r="E8" s="48"/>
      <c r="F8" s="132">
        <v>-0.17</v>
      </c>
      <c r="G8" s="132">
        <v>0.06</v>
      </c>
      <c r="H8" s="133">
        <v>7.0000000000000007E-2</v>
      </c>
      <c r="I8" s="133">
        <v>0.08</v>
      </c>
      <c r="J8" s="133">
        <v>0.08</v>
      </c>
      <c r="K8" s="133">
        <v>0.05</v>
      </c>
      <c r="L8" s="133">
        <v>0.05</v>
      </c>
    </row>
    <row r="9" spans="1:14" x14ac:dyDescent="0.3">
      <c r="D9" s="1" t="s">
        <v>18</v>
      </c>
      <c r="E9" s="11">
        <v>4.21</v>
      </c>
      <c r="F9" s="11">
        <f t="shared" ref="F9:L9" si="1">E9*(1+F10)</f>
        <v>3.9994999999999998</v>
      </c>
      <c r="G9" s="11">
        <f t="shared" si="1"/>
        <v>4.0394949999999996</v>
      </c>
      <c r="H9" s="11">
        <f t="shared" si="1"/>
        <v>4.0879689399999997</v>
      </c>
      <c r="I9" s="11">
        <f t="shared" si="1"/>
        <v>4.1411125362199996</v>
      </c>
      <c r="J9" s="11">
        <f t="shared" si="1"/>
        <v>4.2032292242632989</v>
      </c>
      <c r="K9" s="11">
        <f t="shared" si="1"/>
        <v>4.2578712041787217</v>
      </c>
      <c r="L9" s="11">
        <f t="shared" si="1"/>
        <v>4.3132235298330448</v>
      </c>
    </row>
    <row r="10" spans="1:14" x14ac:dyDescent="0.3">
      <c r="D10" s="2" t="s">
        <v>8</v>
      </c>
      <c r="E10" s="49"/>
      <c r="F10" s="133">
        <v>-0.05</v>
      </c>
      <c r="G10" s="133">
        <v>0.01</v>
      </c>
      <c r="H10" s="133">
        <v>1.2E-2</v>
      </c>
      <c r="I10" s="133">
        <f>H10+0.1%</f>
        <v>1.3000000000000001E-2</v>
      </c>
      <c r="J10" s="133">
        <v>1.4999999999999999E-2</v>
      </c>
      <c r="K10" s="133">
        <v>1.2999999999999999E-2</v>
      </c>
      <c r="L10" s="133">
        <v>1.2999999999999999E-2</v>
      </c>
    </row>
    <row r="11" spans="1:14" x14ac:dyDescent="0.3">
      <c r="D11" s="1" t="s">
        <v>19</v>
      </c>
      <c r="E11" s="11">
        <v>2.5299999999999998</v>
      </c>
      <c r="F11" s="11">
        <f>E11*(1+F12)</f>
        <v>2.6256339999999998</v>
      </c>
      <c r="G11" s="11">
        <f t="shared" ref="G11:L11" si="2">F11*(1+G12)</f>
        <v>2.5928135750000001</v>
      </c>
      <c r="H11" s="11">
        <f t="shared" si="2"/>
        <v>2.5616998121000001</v>
      </c>
      <c r="I11" s="11">
        <f t="shared" si="2"/>
        <v>2.5309594143548</v>
      </c>
      <c r="J11" s="11">
        <f t="shared" si="2"/>
        <v>2.503118860796897</v>
      </c>
      <c r="K11" s="11">
        <f t="shared" si="2"/>
        <v>2.478087672188928</v>
      </c>
      <c r="L11" s="11">
        <f t="shared" si="2"/>
        <v>2.4533067954670389</v>
      </c>
    </row>
    <row r="12" spans="1:14" ht="16.2" thickBot="1" x14ac:dyDescent="0.35">
      <c r="D12" s="134" t="s">
        <v>8</v>
      </c>
      <c r="E12" s="135"/>
      <c r="F12" s="135">
        <v>3.78E-2</v>
      </c>
      <c r="G12" s="135">
        <v>-1.2500000000000001E-2</v>
      </c>
      <c r="H12" s="135">
        <v>-1.2E-2</v>
      </c>
      <c r="I12" s="135">
        <v>-1.2E-2</v>
      </c>
      <c r="J12" s="135">
        <v>-1.0999999999999999E-2</v>
      </c>
      <c r="K12" s="135">
        <v>-0.01</v>
      </c>
      <c r="L12" s="135">
        <v>-0.01</v>
      </c>
    </row>
    <row r="13" spans="1:14" x14ac:dyDescent="0.3">
      <c r="D13" s="2"/>
      <c r="E13" s="133"/>
      <c r="F13" s="133"/>
      <c r="G13" s="133"/>
      <c r="H13" s="133"/>
      <c r="I13" s="133"/>
      <c r="J13" s="133"/>
      <c r="K13" s="133"/>
      <c r="L13" s="133"/>
    </row>
    <row r="14" spans="1:14" x14ac:dyDescent="0.3">
      <c r="G14" s="10"/>
      <c r="H14" s="10"/>
      <c r="I14" s="10"/>
      <c r="J14" s="10"/>
      <c r="K14" s="10"/>
      <c r="L14" s="10"/>
    </row>
    <row r="15" spans="1:14" s="21" customFormat="1" x14ac:dyDescent="0.3">
      <c r="A15" s="1"/>
      <c r="B15" s="19">
        <v>2</v>
      </c>
      <c r="C15" s="1"/>
      <c r="D15" s="20" t="s">
        <v>43</v>
      </c>
    </row>
    <row r="17" spans="4:17" x14ac:dyDescent="0.3">
      <c r="D17" s="3" t="str">
        <f>D4</f>
        <v>Cible SA</v>
      </c>
      <c r="E17" s="3"/>
      <c r="F17" s="3"/>
    </row>
    <row r="18" spans="4:17" ht="16.2" thickBot="1" x14ac:dyDescent="0.35">
      <c r="D18" s="4" t="s">
        <v>20</v>
      </c>
      <c r="E18" s="4">
        <v>2019</v>
      </c>
      <c r="F18" s="4">
        <v>2020</v>
      </c>
      <c r="G18" s="9" t="s">
        <v>2</v>
      </c>
      <c r="H18" s="9" t="s">
        <v>3</v>
      </c>
      <c r="I18" s="9" t="s">
        <v>4</v>
      </c>
      <c r="J18" s="9" t="s">
        <v>5</v>
      </c>
      <c r="K18" s="9" t="s">
        <v>24</v>
      </c>
      <c r="L18" s="9" t="s">
        <v>25</v>
      </c>
    </row>
    <row r="19" spans="4:17" ht="4.95" customHeight="1" x14ac:dyDescent="0.3"/>
    <row r="20" spans="4:17" x14ac:dyDescent="0.3">
      <c r="D20" s="3" t="s">
        <v>9</v>
      </c>
      <c r="E20" s="12">
        <f t="shared" ref="E20:L20" si="3">E7*E9</f>
        <v>150.297</v>
      </c>
      <c r="F20" s="12">
        <f t="shared" si="3"/>
        <v>118.50918449999999</v>
      </c>
      <c r="G20" s="12">
        <f t="shared" si="3"/>
        <v>126.87593292569998</v>
      </c>
      <c r="H20" s="12">
        <f t="shared" si="3"/>
        <v>137.38633520926498</v>
      </c>
      <c r="I20" s="12">
        <f t="shared" si="3"/>
        <v>150.30614617234428</v>
      </c>
      <c r="J20" s="12">
        <f t="shared" si="3"/>
        <v>164.7655974341238</v>
      </c>
      <c r="K20" s="12">
        <f t="shared" si="3"/>
        <v>175.25292771080578</v>
      </c>
      <c r="L20" s="12">
        <f t="shared" si="3"/>
        <v>186.40777655959855</v>
      </c>
    </row>
    <row r="21" spans="4:17" x14ac:dyDescent="0.3">
      <c r="D21" s="1" t="s">
        <v>10</v>
      </c>
      <c r="E21" s="14">
        <f t="shared" ref="E21:L21" si="4">-E7*E11</f>
        <v>-90.320999999999998</v>
      </c>
      <c r="F21" s="14">
        <f t="shared" si="4"/>
        <v>-77.800161054</v>
      </c>
      <c r="G21" s="14">
        <f t="shared" si="4"/>
        <v>-81.437318583274504</v>
      </c>
      <c r="H21" s="14">
        <f t="shared" si="4"/>
        <v>-86.092275713494487</v>
      </c>
      <c r="I21" s="14">
        <f t="shared" si="4"/>
        <v>-91.863901877327166</v>
      </c>
      <c r="J21" s="14">
        <f t="shared" si="4"/>
        <v>-98.121670873210689</v>
      </c>
      <c r="K21" s="14">
        <f t="shared" si="4"/>
        <v>-101.99747687270251</v>
      </c>
      <c r="L21" s="14">
        <f t="shared" si="4"/>
        <v>-106.02637720917426</v>
      </c>
    </row>
    <row r="22" spans="4:17" x14ac:dyDescent="0.3">
      <c r="D22" s="3" t="s">
        <v>12</v>
      </c>
      <c r="E22" s="12">
        <f>E20+E21</f>
        <v>59.975999999999999</v>
      </c>
      <c r="F22" s="12">
        <f t="shared" ref="F22:L22" si="5">F20+F21</f>
        <v>40.709023445999989</v>
      </c>
      <c r="G22" s="12">
        <f t="shared" si="5"/>
        <v>45.438614342425481</v>
      </c>
      <c r="H22" s="12">
        <f t="shared" si="5"/>
        <v>51.294059495770497</v>
      </c>
      <c r="I22" s="12">
        <f t="shared" si="5"/>
        <v>58.442244295017119</v>
      </c>
      <c r="J22" s="12">
        <f t="shared" si="5"/>
        <v>66.643926560913116</v>
      </c>
      <c r="K22" s="12">
        <f t="shared" si="5"/>
        <v>73.255450838103272</v>
      </c>
      <c r="L22" s="12">
        <f t="shared" si="5"/>
        <v>80.381399350424289</v>
      </c>
    </row>
    <row r="23" spans="4:17" x14ac:dyDescent="0.3">
      <c r="D23" s="5" t="s">
        <v>56</v>
      </c>
      <c r="E23" s="16">
        <v>-39.077220000000004</v>
      </c>
      <c r="F23" s="16">
        <v>-33.182571549391426</v>
      </c>
      <c r="G23" s="16">
        <v>-35.525261207354241</v>
      </c>
      <c r="H23" s="16">
        <v>-37.094310506377894</v>
      </c>
      <c r="I23" s="16">
        <v>-40.582659466532959</v>
      </c>
      <c r="J23" s="16">
        <v>-43.662883320042809</v>
      </c>
      <c r="K23" s="16">
        <v>-46.442025843363531</v>
      </c>
      <c r="L23" s="16">
        <v>-49.39806078829362</v>
      </c>
    </row>
    <row r="24" spans="4:17" x14ac:dyDescent="0.3">
      <c r="D24" s="45" t="s">
        <v>14</v>
      </c>
      <c r="E24" s="46">
        <f>E22+E23</f>
        <v>20.898779999999995</v>
      </c>
      <c r="F24" s="46">
        <f>F22+F23</f>
        <v>7.5264518966085632</v>
      </c>
      <c r="G24" s="46">
        <f t="shared" ref="G24:L24" si="6">G22+G23</f>
        <v>9.9133531350712403</v>
      </c>
      <c r="H24" s="46">
        <f t="shared" si="6"/>
        <v>14.199748989392603</v>
      </c>
      <c r="I24" s="46">
        <f t="shared" si="6"/>
        <v>17.859584828484159</v>
      </c>
      <c r="J24" s="46">
        <f t="shared" si="6"/>
        <v>22.981043240870306</v>
      </c>
      <c r="K24" s="46">
        <f t="shared" si="6"/>
        <v>26.813424994739741</v>
      </c>
      <c r="L24" s="46">
        <f t="shared" si="6"/>
        <v>30.983338562130669</v>
      </c>
    </row>
    <row r="25" spans="4:17" x14ac:dyDescent="0.3">
      <c r="D25" s="5" t="s">
        <v>42</v>
      </c>
      <c r="E25" s="16">
        <v>-8.1980181818181794</v>
      </c>
      <c r="F25" s="16">
        <v>-7.0028154477272722</v>
      </c>
      <c r="G25" s="16">
        <v>-7.4972142183368167</v>
      </c>
      <c r="H25" s="16">
        <v>-8.1182834441838398</v>
      </c>
      <c r="I25" s="16">
        <v>-8.8817268192748902</v>
      </c>
      <c r="J25" s="16">
        <v>-9.7361489392891336</v>
      </c>
      <c r="K25" s="16">
        <v>-10.355854819274887</v>
      </c>
      <c r="L25" s="16">
        <v>-11.015004978521732</v>
      </c>
    </row>
    <row r="26" spans="4:17" x14ac:dyDescent="0.3">
      <c r="D26" s="34" t="s">
        <v>13</v>
      </c>
      <c r="E26" s="35">
        <f>E24+E25</f>
        <v>12.700761818181816</v>
      </c>
      <c r="F26" s="35">
        <f t="shared" ref="F26:L26" si="7">F24+F25</f>
        <v>0.52363644888129102</v>
      </c>
      <c r="G26" s="35">
        <f t="shared" si="7"/>
        <v>2.4161389167344236</v>
      </c>
      <c r="H26" s="35">
        <f t="shared" si="7"/>
        <v>6.0814655452087631</v>
      </c>
      <c r="I26" s="35">
        <f t="shared" si="7"/>
        <v>8.9778580092092692</v>
      </c>
      <c r="J26" s="35">
        <f t="shared" si="7"/>
        <v>13.244894301581173</v>
      </c>
      <c r="K26" s="35">
        <f t="shared" si="7"/>
        <v>16.457570175464852</v>
      </c>
      <c r="L26" s="35">
        <f t="shared" si="7"/>
        <v>19.968333583608938</v>
      </c>
      <c r="Q26" s="54"/>
    </row>
    <row r="27" spans="4:17" x14ac:dyDescent="0.3">
      <c r="D27" s="6" t="s">
        <v>147</v>
      </c>
      <c r="E27" s="18">
        <v>-1.1508910000000001</v>
      </c>
      <c r="F27" s="18">
        <v>-1.1508910000000001</v>
      </c>
      <c r="G27" s="18">
        <v>-1.1508910000000001</v>
      </c>
      <c r="H27" s="18">
        <v>-1.1508910000000001</v>
      </c>
      <c r="I27" s="18">
        <v>-1.1508910000000001</v>
      </c>
      <c r="J27" s="18">
        <v>-1.1508910000000001</v>
      </c>
      <c r="K27" s="18">
        <v>0</v>
      </c>
      <c r="L27" s="18">
        <v>0</v>
      </c>
      <c r="Q27" s="54"/>
    </row>
    <row r="28" spans="4:17" x14ac:dyDescent="0.3">
      <c r="D28" s="45" t="s">
        <v>150</v>
      </c>
      <c r="E28" s="46">
        <f>E26+E27</f>
        <v>11.549870818181816</v>
      </c>
      <c r="F28" s="46">
        <f t="shared" ref="F28:L28" si="8">F26+F27</f>
        <v>-0.62725455111870909</v>
      </c>
      <c r="G28" s="46">
        <f t="shared" si="8"/>
        <v>1.2652479167344235</v>
      </c>
      <c r="H28" s="46">
        <f t="shared" si="8"/>
        <v>4.9305745452087635</v>
      </c>
      <c r="I28" s="46">
        <f t="shared" si="8"/>
        <v>7.8269670092092696</v>
      </c>
      <c r="J28" s="46">
        <f t="shared" si="8"/>
        <v>12.094003301581173</v>
      </c>
      <c r="K28" s="46">
        <f t="shared" si="8"/>
        <v>16.457570175464852</v>
      </c>
      <c r="L28" s="46">
        <f t="shared" si="8"/>
        <v>19.968333583608938</v>
      </c>
    </row>
    <row r="29" spans="4:17" x14ac:dyDescent="0.3">
      <c r="D29" s="5" t="s">
        <v>38</v>
      </c>
      <c r="E29" s="16">
        <f>IF(E28&gt;0,-28%*E28,0)</f>
        <v>-3.233963829090909</v>
      </c>
      <c r="F29" s="16">
        <f t="shared" ref="F29:L29" si="9">IF(F28&gt;0,-28%*F28,0)</f>
        <v>0</v>
      </c>
      <c r="G29" s="16">
        <f t="shared" si="9"/>
        <v>-0.35426941668563861</v>
      </c>
      <c r="H29" s="16">
        <f t="shared" si="9"/>
        <v>-1.380560872658454</v>
      </c>
      <c r="I29" s="16">
        <f t="shared" si="9"/>
        <v>-2.1915507625785957</v>
      </c>
      <c r="J29" s="16">
        <f t="shared" si="9"/>
        <v>-3.386320924442729</v>
      </c>
      <c r="K29" s="16">
        <f t="shared" si="9"/>
        <v>-4.6081196491301588</v>
      </c>
      <c r="L29" s="16">
        <f t="shared" si="9"/>
        <v>-5.5911334034105034</v>
      </c>
    </row>
    <row r="30" spans="4:17" ht="16.2" thickBot="1" x14ac:dyDescent="0.35">
      <c r="D30" s="101" t="s">
        <v>158</v>
      </c>
      <c r="E30" s="102">
        <f>E28+E29</f>
        <v>8.315906989090907</v>
      </c>
      <c r="F30" s="102">
        <f t="shared" ref="F30:L30" si="10">F28+F29</f>
        <v>-0.62725455111870909</v>
      </c>
      <c r="G30" s="102">
        <f t="shared" si="10"/>
        <v>0.91097850004878489</v>
      </c>
      <c r="H30" s="102">
        <f t="shared" si="10"/>
        <v>3.5500136725503095</v>
      </c>
      <c r="I30" s="102">
        <f t="shared" si="10"/>
        <v>5.6354162466306743</v>
      </c>
      <c r="J30" s="102">
        <f t="shared" si="10"/>
        <v>8.7076823771384433</v>
      </c>
      <c r="K30" s="102">
        <f t="shared" si="10"/>
        <v>11.849450526334692</v>
      </c>
      <c r="L30" s="102">
        <f t="shared" si="10"/>
        <v>14.377200180198436</v>
      </c>
    </row>
    <row r="31" spans="4:17" x14ac:dyDescent="0.3">
      <c r="D31" s="75"/>
      <c r="E31" s="76"/>
      <c r="F31" s="76"/>
      <c r="G31" s="76"/>
      <c r="H31" s="76"/>
      <c r="I31" s="76"/>
      <c r="J31" s="76"/>
      <c r="K31" s="76"/>
      <c r="L31" s="76"/>
    </row>
    <row r="32" spans="4:17" x14ac:dyDescent="0.3">
      <c r="D32" s="75"/>
      <c r="E32" s="76"/>
      <c r="F32" s="76"/>
      <c r="G32" s="76"/>
      <c r="H32" s="76"/>
      <c r="I32" s="76"/>
      <c r="J32" s="76"/>
      <c r="K32" s="76"/>
      <c r="L32" s="76"/>
    </row>
    <row r="33" spans="1:19" s="21" customFormat="1" x14ac:dyDescent="0.3">
      <c r="A33" s="1"/>
      <c r="B33" s="19">
        <v>3</v>
      </c>
      <c r="C33" s="1"/>
      <c r="D33" s="20" t="s">
        <v>1</v>
      </c>
    </row>
    <row r="35" spans="1:19" x14ac:dyDescent="0.3">
      <c r="D35" s="3" t="s">
        <v>7</v>
      </c>
      <c r="E35" s="3"/>
      <c r="F35" s="3"/>
    </row>
    <row r="36" spans="1:19" ht="16.2" thickBot="1" x14ac:dyDescent="0.35">
      <c r="D36" s="4" t="s">
        <v>54</v>
      </c>
      <c r="E36" s="4">
        <v>2019</v>
      </c>
      <c r="F36" s="4">
        <v>2020</v>
      </c>
      <c r="G36" s="9" t="s">
        <v>2</v>
      </c>
      <c r="H36" s="9" t="s">
        <v>3</v>
      </c>
      <c r="I36" s="9" t="s">
        <v>4</v>
      </c>
      <c r="J36" s="9" t="s">
        <v>5</v>
      </c>
      <c r="K36" s="9" t="s">
        <v>24</v>
      </c>
      <c r="L36" s="9" t="s">
        <v>25</v>
      </c>
    </row>
    <row r="37" spans="1:19" ht="4.95" customHeight="1" x14ac:dyDescent="0.3">
      <c r="G37" s="10"/>
      <c r="H37" s="10"/>
      <c r="I37" s="10"/>
      <c r="J37" s="10"/>
      <c r="K37" s="10"/>
      <c r="L37" s="10"/>
    </row>
    <row r="38" spans="1:19" x14ac:dyDescent="0.3">
      <c r="D38" s="1" t="s">
        <v>14</v>
      </c>
      <c r="E38" s="14">
        <f t="shared" ref="E38:L38" si="11">E24</f>
        <v>20.898779999999995</v>
      </c>
      <c r="F38" s="14">
        <f t="shared" si="11"/>
        <v>7.5264518966085632</v>
      </c>
      <c r="G38" s="14">
        <f t="shared" si="11"/>
        <v>9.9133531350712403</v>
      </c>
      <c r="H38" s="14">
        <f t="shared" si="11"/>
        <v>14.199748989392603</v>
      </c>
      <c r="I38" s="14">
        <f t="shared" si="11"/>
        <v>17.859584828484159</v>
      </c>
      <c r="J38" s="14">
        <f t="shared" si="11"/>
        <v>22.981043240870306</v>
      </c>
      <c r="K38" s="14">
        <f t="shared" si="11"/>
        <v>26.813424994739741</v>
      </c>
      <c r="L38" s="14">
        <f t="shared" si="11"/>
        <v>30.983338562130669</v>
      </c>
    </row>
    <row r="39" spans="1:19" x14ac:dyDescent="0.3">
      <c r="D39" s="1" t="s">
        <v>38</v>
      </c>
      <c r="E39" s="14">
        <f t="shared" ref="E39:L39" si="12">E29</f>
        <v>-3.233963829090909</v>
      </c>
      <c r="F39" s="14">
        <f t="shared" si="12"/>
        <v>0</v>
      </c>
      <c r="G39" s="14">
        <f t="shared" si="12"/>
        <v>-0.35426941668563861</v>
      </c>
      <c r="H39" s="14">
        <f t="shared" si="12"/>
        <v>-1.380560872658454</v>
      </c>
      <c r="I39" s="14">
        <f t="shared" si="12"/>
        <v>-2.1915507625785957</v>
      </c>
      <c r="J39" s="14">
        <f t="shared" si="12"/>
        <v>-3.386320924442729</v>
      </c>
      <c r="K39" s="14">
        <f t="shared" si="12"/>
        <v>-4.6081196491301588</v>
      </c>
      <c r="L39" s="14">
        <f t="shared" si="12"/>
        <v>-5.5911334034105034</v>
      </c>
    </row>
    <row r="40" spans="1:19" x14ac:dyDescent="0.3">
      <c r="D40" s="1" t="s">
        <v>165</v>
      </c>
      <c r="E40" s="14">
        <v>-9.1</v>
      </c>
      <c r="F40" s="14">
        <v>-7.7030969924999999</v>
      </c>
      <c r="G40" s="14">
        <v>-8.2469356401704985</v>
      </c>
      <c r="H40" s="14">
        <v>-8.9301117886022237</v>
      </c>
      <c r="I40" s="14">
        <v>-9.7698995012023797</v>
      </c>
      <c r="J40" s="14">
        <v>-10.709763833218048</v>
      </c>
      <c r="K40" s="14">
        <v>-11.391440301202376</v>
      </c>
      <c r="L40" s="14">
        <v>-12.116505476373906</v>
      </c>
    </row>
    <row r="41" spans="1:19" x14ac:dyDescent="0.3">
      <c r="D41" s="1" t="s">
        <v>29</v>
      </c>
      <c r="E41" s="14">
        <v>-1</v>
      </c>
      <c r="F41" s="14">
        <v>4.7681723249999983</v>
      </c>
      <c r="G41" s="14">
        <v>-1.2550122638549972</v>
      </c>
      <c r="H41" s="14">
        <v>-1.5765603425347514</v>
      </c>
      <c r="I41" s="14">
        <v>-1.9379716444618929</v>
      </c>
      <c r="J41" s="14">
        <v>-2.1689176892669302</v>
      </c>
      <c r="K41" s="14">
        <v>-1.5730995415022946</v>
      </c>
      <c r="L41" s="14">
        <v>-1.6732273273189158</v>
      </c>
    </row>
    <row r="42" spans="1:19" ht="4.95" customHeight="1" x14ac:dyDescent="0.3">
      <c r="E42" s="14"/>
      <c r="F42" s="14"/>
      <c r="G42" s="14"/>
      <c r="H42" s="14"/>
      <c r="I42" s="14"/>
      <c r="J42" s="14"/>
      <c r="K42" s="14"/>
      <c r="L42" s="14"/>
    </row>
    <row r="43" spans="1:19" ht="16.2" thickBot="1" x14ac:dyDescent="0.35">
      <c r="D43" s="36" t="s">
        <v>58</v>
      </c>
      <c r="E43" s="44">
        <f>SUM(E38:E41)</f>
        <v>7.5648161709090846</v>
      </c>
      <c r="F43" s="44">
        <f>SUM(F38:F41)</f>
        <v>4.5915272291085616</v>
      </c>
      <c r="G43" s="44">
        <f t="shared" ref="G43:L43" si="13">SUM(G38:G41)</f>
        <v>5.7135814360105286E-2</v>
      </c>
      <c r="H43" s="44">
        <f t="shared" si="13"/>
        <v>2.3125159855971749</v>
      </c>
      <c r="I43" s="44">
        <f t="shared" si="13"/>
        <v>3.9601629202412916</v>
      </c>
      <c r="J43" s="44">
        <f t="shared" si="13"/>
        <v>6.7160407939426001</v>
      </c>
      <c r="K43" s="44">
        <f t="shared" si="13"/>
        <v>9.2407655029049103</v>
      </c>
      <c r="L43" s="44">
        <f t="shared" si="13"/>
        <v>11.602472355027345</v>
      </c>
    </row>
    <row r="44" spans="1:19" ht="4.95" customHeight="1" x14ac:dyDescent="0.3">
      <c r="E44" s="14"/>
      <c r="F44" s="14"/>
      <c r="G44" s="14"/>
      <c r="H44" s="14"/>
      <c r="I44" s="14"/>
      <c r="J44" s="14"/>
      <c r="K44" s="14"/>
      <c r="L44" s="14"/>
    </row>
    <row r="45" spans="1:19" x14ac:dyDescent="0.3">
      <c r="D45" s="1" t="s">
        <v>39</v>
      </c>
      <c r="E45" s="14">
        <v>-1.1508910000000001</v>
      </c>
      <c r="F45" s="14">
        <v>-1.1508910000000001</v>
      </c>
      <c r="G45" s="14">
        <v>-1.1508910000000001</v>
      </c>
      <c r="H45" s="14">
        <v>-1.1508910000000001</v>
      </c>
      <c r="I45" s="14">
        <v>-1.1508910000000001</v>
      </c>
      <c r="J45" s="14">
        <v>-1.1508910000000001</v>
      </c>
      <c r="K45" s="14">
        <v>0</v>
      </c>
      <c r="L45" s="14">
        <v>0</v>
      </c>
      <c r="M45" s="14"/>
      <c r="N45" s="14"/>
      <c r="O45" s="14"/>
      <c r="P45" s="14"/>
      <c r="Q45" s="14"/>
      <c r="R45" s="14"/>
      <c r="S45" s="14"/>
    </row>
    <row r="46" spans="1:19" x14ac:dyDescent="0.3">
      <c r="D46" s="1" t="s">
        <v>50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/>
      <c r="N46" s="14"/>
      <c r="O46" s="14"/>
      <c r="P46" s="14"/>
      <c r="Q46" s="14"/>
      <c r="R46" s="14"/>
      <c r="S46" s="14"/>
    </row>
    <row r="47" spans="1:19" x14ac:dyDescent="0.3">
      <c r="D47" s="1" t="s">
        <v>146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/>
      <c r="N47" s="14"/>
      <c r="O47" s="14"/>
      <c r="P47" s="14"/>
      <c r="Q47" s="14"/>
      <c r="R47" s="14"/>
      <c r="S47" s="14"/>
    </row>
    <row r="48" spans="1:19" x14ac:dyDescent="0.3">
      <c r="D48" s="5" t="s">
        <v>40</v>
      </c>
      <c r="E48" s="16">
        <v>-2.7433645527272721</v>
      </c>
      <c r="F48" s="16">
        <v>0</v>
      </c>
      <c r="G48" s="16">
        <v>0</v>
      </c>
      <c r="H48" s="16">
        <v>-1.2425047853926083</v>
      </c>
      <c r="I48" s="16">
        <v>-1.9723956863207359</v>
      </c>
      <c r="J48" s="16">
        <v>-3.047688831998455</v>
      </c>
      <c r="K48" s="16">
        <v>-4.1473076842171421</v>
      </c>
      <c r="L48" s="16">
        <v>-5.032020063069452</v>
      </c>
      <c r="M48" s="14"/>
      <c r="N48" s="14"/>
      <c r="O48" s="14"/>
      <c r="P48" s="14"/>
      <c r="Q48" s="14"/>
      <c r="R48" s="14"/>
      <c r="S48" s="14"/>
    </row>
    <row r="49" spans="1:19" ht="16.2" thickBot="1" x14ac:dyDescent="0.35">
      <c r="D49" s="36" t="s">
        <v>76</v>
      </c>
      <c r="E49" s="44">
        <f>SUM(E43:E48)</f>
        <v>3.6705606181818129</v>
      </c>
      <c r="F49" s="44">
        <f>SUM(F43:F48)</f>
        <v>3.4406362291085615</v>
      </c>
      <c r="G49" s="44">
        <f t="shared" ref="G49:L49" si="14">SUM(G43:G48)</f>
        <v>-1.0937551856398948</v>
      </c>
      <c r="H49" s="44">
        <f t="shared" si="14"/>
        <v>-8.0879799795433582E-2</v>
      </c>
      <c r="I49" s="44">
        <f t="shared" si="14"/>
        <v>0.83687623392055555</v>
      </c>
      <c r="J49" s="44">
        <f t="shared" si="14"/>
        <v>2.5174609619441455</v>
      </c>
      <c r="K49" s="44">
        <f t="shared" si="14"/>
        <v>5.0934578186877681</v>
      </c>
      <c r="L49" s="44">
        <f t="shared" si="14"/>
        <v>6.5704522919578929</v>
      </c>
      <c r="M49" s="14"/>
      <c r="N49" s="14"/>
      <c r="O49" s="14"/>
      <c r="P49" s="14"/>
      <c r="Q49" s="14"/>
      <c r="R49" s="14"/>
      <c r="S49" s="14"/>
    </row>
    <row r="50" spans="1:19" x14ac:dyDescent="0.3"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2" spans="1:19" s="21" customFormat="1" x14ac:dyDescent="0.3">
      <c r="A52" s="1"/>
      <c r="B52" s="19">
        <f>MAX($B$1:$B51)+1</f>
        <v>4</v>
      </c>
      <c r="C52" s="1"/>
      <c r="D52" s="20" t="s">
        <v>44</v>
      </c>
    </row>
    <row r="54" spans="1:19" x14ac:dyDescent="0.3">
      <c r="D54" s="3" t="s">
        <v>7</v>
      </c>
      <c r="E54" s="3"/>
      <c r="F54" s="3"/>
    </row>
    <row r="55" spans="1:19" ht="16.2" thickBot="1" x14ac:dyDescent="0.35">
      <c r="D55" s="4" t="s">
        <v>45</v>
      </c>
      <c r="E55" s="4">
        <v>2019</v>
      </c>
      <c r="F55" s="4">
        <v>2020</v>
      </c>
      <c r="G55" s="9" t="s">
        <v>2</v>
      </c>
      <c r="H55" s="9" t="s">
        <v>3</v>
      </c>
      <c r="I55" s="9" t="s">
        <v>4</v>
      </c>
      <c r="J55" s="9" t="s">
        <v>5</v>
      </c>
      <c r="K55" s="9" t="s">
        <v>24</v>
      </c>
      <c r="L55" s="9" t="s">
        <v>25</v>
      </c>
    </row>
    <row r="56" spans="1:19" ht="4.95" customHeight="1" x14ac:dyDescent="0.3"/>
    <row r="57" spans="1:19" x14ac:dyDescent="0.3">
      <c r="D57" s="1" t="s">
        <v>46</v>
      </c>
      <c r="E57" s="14">
        <v>80</v>
      </c>
      <c r="F57" s="14">
        <f t="shared" ref="F57:L57" si="15">E57-F40+F25</f>
        <v>80.700281544772722</v>
      </c>
      <c r="G57" s="14">
        <f t="shared" si="15"/>
        <v>81.450002966606391</v>
      </c>
      <c r="H57" s="14">
        <f t="shared" si="15"/>
        <v>82.261831311024764</v>
      </c>
      <c r="I57" s="14">
        <f t="shared" si="15"/>
        <v>83.15000399295225</v>
      </c>
      <c r="J57" s="14">
        <f t="shared" si="15"/>
        <v>84.123618886881161</v>
      </c>
      <c r="K57" s="14">
        <f t="shared" si="15"/>
        <v>85.159204368808659</v>
      </c>
      <c r="L57" s="14">
        <f t="shared" si="15"/>
        <v>86.260704866660831</v>
      </c>
    </row>
    <row r="58" spans="1:19" x14ac:dyDescent="0.3">
      <c r="D58" s="1" t="s">
        <v>28</v>
      </c>
      <c r="E58" s="14">
        <v>22.544549999999997</v>
      </c>
      <c r="F58" s="14">
        <f t="shared" ref="F58:L58" si="16">E58-F41</f>
        <v>17.776377674999999</v>
      </c>
      <c r="G58" s="14">
        <f t="shared" si="16"/>
        <v>19.031389938854996</v>
      </c>
      <c r="H58" s="14">
        <f t="shared" si="16"/>
        <v>20.607950281389748</v>
      </c>
      <c r="I58" s="14">
        <f t="shared" si="16"/>
        <v>22.545921925851641</v>
      </c>
      <c r="J58" s="14">
        <f t="shared" si="16"/>
        <v>24.714839615118571</v>
      </c>
      <c r="K58" s="14">
        <f t="shared" si="16"/>
        <v>26.287939156620865</v>
      </c>
      <c r="L58" s="14">
        <f t="shared" si="16"/>
        <v>27.961166483939781</v>
      </c>
    </row>
    <row r="59" spans="1:19" ht="16.2" thickBot="1" x14ac:dyDescent="0.35">
      <c r="D59" s="51" t="s">
        <v>32</v>
      </c>
      <c r="E59" s="52">
        <f>SUM(E57:E58)</f>
        <v>102.54455</v>
      </c>
      <c r="F59" s="52">
        <f>SUM(F57:F58)</f>
        <v>98.476659219772728</v>
      </c>
      <c r="G59" s="52">
        <f t="shared" ref="G59:L59" si="17">SUM(G57:G58)</f>
        <v>100.48139290546139</v>
      </c>
      <c r="H59" s="52">
        <f t="shared" si="17"/>
        <v>102.86978159241451</v>
      </c>
      <c r="I59" s="52">
        <f t="shared" si="17"/>
        <v>105.69592591880389</v>
      </c>
      <c r="J59" s="52">
        <f t="shared" si="17"/>
        <v>108.83845850199972</v>
      </c>
      <c r="K59" s="52">
        <f t="shared" si="17"/>
        <v>111.44714352542952</v>
      </c>
      <c r="L59" s="52">
        <f t="shared" si="17"/>
        <v>114.22187135060061</v>
      </c>
    </row>
    <row r="60" spans="1:19" x14ac:dyDescent="0.3">
      <c r="D60" s="23" t="s">
        <v>47</v>
      </c>
      <c r="E60" s="26">
        <v>45</v>
      </c>
      <c r="F60" s="26">
        <f t="shared" ref="F60:L60" si="18">E60+F30+F48</f>
        <v>44.37274544888129</v>
      </c>
      <c r="G60" s="26">
        <f t="shared" si="18"/>
        <v>45.283723948930074</v>
      </c>
      <c r="H60" s="26">
        <f t="shared" si="18"/>
        <v>47.591232836087769</v>
      </c>
      <c r="I60" s="26">
        <f t="shared" si="18"/>
        <v>51.254253396397708</v>
      </c>
      <c r="J60" s="26">
        <f t="shared" si="18"/>
        <v>56.914246941537698</v>
      </c>
      <c r="K60" s="26">
        <f t="shared" si="18"/>
        <v>64.616389783655251</v>
      </c>
      <c r="L60" s="26">
        <f t="shared" si="18"/>
        <v>73.961569900784227</v>
      </c>
    </row>
    <row r="61" spans="1:19" x14ac:dyDescent="0.3">
      <c r="D61" s="5" t="s">
        <v>160</v>
      </c>
      <c r="E61" s="16">
        <v>57.544550000000001</v>
      </c>
      <c r="F61" s="16">
        <f t="shared" ref="F61:L61" si="19">E61-F49</f>
        <v>54.103913770891438</v>
      </c>
      <c r="G61" s="16">
        <f t="shared" si="19"/>
        <v>55.197668956531331</v>
      </c>
      <c r="H61" s="16">
        <f t="shared" si="19"/>
        <v>55.278548756326764</v>
      </c>
      <c r="I61" s="16">
        <f t="shared" si="19"/>
        <v>54.441672522406208</v>
      </c>
      <c r="J61" s="16">
        <f t="shared" si="19"/>
        <v>51.924211560462062</v>
      </c>
      <c r="K61" s="16">
        <f t="shared" si="19"/>
        <v>46.830753741774295</v>
      </c>
      <c r="L61" s="16">
        <f t="shared" si="19"/>
        <v>40.260301449816403</v>
      </c>
    </row>
    <row r="62" spans="1:19" ht="16.2" thickBot="1" x14ac:dyDescent="0.35">
      <c r="D62" s="51" t="s">
        <v>27</v>
      </c>
      <c r="E62" s="52">
        <f>SUM(E60:E61)</f>
        <v>102.54455</v>
      </c>
      <c r="F62" s="52">
        <f>SUM(F60:F61)</f>
        <v>98.476659219772728</v>
      </c>
      <c r="G62" s="52">
        <f t="shared" ref="G62:L62" si="20">SUM(G60:G61)</f>
        <v>100.48139290546141</v>
      </c>
      <c r="H62" s="52">
        <f>SUM(H60:H61)</f>
        <v>102.86978159241454</v>
      </c>
      <c r="I62" s="52">
        <f t="shared" si="20"/>
        <v>105.69592591880391</v>
      </c>
      <c r="J62" s="52">
        <f t="shared" si="20"/>
        <v>108.83845850199975</v>
      </c>
      <c r="K62" s="52">
        <f t="shared" si="20"/>
        <v>111.44714352542954</v>
      </c>
      <c r="L62" s="52">
        <f t="shared" si="20"/>
        <v>114.22187135060062</v>
      </c>
    </row>
    <row r="63" spans="1:19" x14ac:dyDescent="0.3">
      <c r="E63" s="74"/>
      <c r="F63" s="74"/>
      <c r="G63" s="74"/>
      <c r="H63" s="74"/>
      <c r="I63" s="74"/>
      <c r="J63" s="74"/>
      <c r="K63" s="74"/>
      <c r="L63" s="74"/>
    </row>
    <row r="64" spans="1:19" x14ac:dyDescent="0.3">
      <c r="E64" s="14"/>
      <c r="F64" s="14"/>
      <c r="G64" s="14"/>
      <c r="H64" s="14"/>
      <c r="I64" s="14"/>
      <c r="J64" s="14"/>
      <c r="K64" s="14"/>
      <c r="L64" s="14"/>
    </row>
    <row r="65" spans="1:12" ht="16.2" thickBot="1" x14ac:dyDescent="0.35">
      <c r="D65" s="59" t="s">
        <v>118</v>
      </c>
      <c r="E65" s="60"/>
      <c r="F65" s="60"/>
      <c r="G65" s="60"/>
      <c r="H65" s="60"/>
      <c r="I65" s="60"/>
      <c r="J65" s="60"/>
      <c r="K65" s="60"/>
      <c r="L65" s="60"/>
    </row>
    <row r="66" spans="1:12" ht="16.2" thickBot="1" x14ac:dyDescent="0.35">
      <c r="D66" s="17" t="s">
        <v>159</v>
      </c>
      <c r="E66" s="109">
        <f t="shared" ref="E66:L66" si="21">E61/E24</f>
        <v>2.7534884811457903</v>
      </c>
      <c r="F66" s="109">
        <f t="shared" si="21"/>
        <v>7.1885019015760649</v>
      </c>
      <c r="G66" s="109">
        <f t="shared" si="21"/>
        <v>5.5680119737946434</v>
      </c>
      <c r="H66" s="109">
        <f t="shared" si="21"/>
        <v>3.8929243606785273</v>
      </c>
      <c r="I66" s="110">
        <f t="shared" si="21"/>
        <v>3.0483168027275451</v>
      </c>
      <c r="J66" s="109">
        <f t="shared" si="21"/>
        <v>2.259436658998935</v>
      </c>
      <c r="K66" s="109">
        <f t="shared" si="21"/>
        <v>1.746541284858669</v>
      </c>
      <c r="L66" s="109">
        <f t="shared" si="21"/>
        <v>1.2994177941503207</v>
      </c>
    </row>
    <row r="68" spans="1:12" x14ac:dyDescent="0.3">
      <c r="G68" s="57"/>
      <c r="H68" s="57"/>
      <c r="I68" s="57"/>
      <c r="J68" s="57"/>
      <c r="K68" s="57"/>
      <c r="L68" s="57"/>
    </row>
    <row r="69" spans="1:12" s="21" customFormat="1" x14ac:dyDescent="0.3">
      <c r="A69" s="1"/>
      <c r="B69" s="19">
        <f>MAX($B$1:$B50)+1</f>
        <v>4</v>
      </c>
      <c r="C69" s="1"/>
      <c r="D69" s="20" t="s">
        <v>102</v>
      </c>
    </row>
    <row r="71" spans="1:12" x14ac:dyDescent="0.3">
      <c r="D71" s="3" t="s">
        <v>7</v>
      </c>
      <c r="E71" s="3"/>
      <c r="F71" s="3"/>
    </row>
    <row r="72" spans="1:12" ht="16.2" thickBot="1" x14ac:dyDescent="0.35">
      <c r="D72" s="4" t="s">
        <v>103</v>
      </c>
      <c r="E72" s="4">
        <v>2019</v>
      </c>
      <c r="F72" s="4">
        <v>2020</v>
      </c>
      <c r="G72" s="9" t="s">
        <v>2</v>
      </c>
      <c r="H72" s="9" t="s">
        <v>3</v>
      </c>
      <c r="I72" s="9" t="s">
        <v>4</v>
      </c>
      <c r="J72" s="9" t="s">
        <v>5</v>
      </c>
      <c r="K72" s="9" t="s">
        <v>24</v>
      </c>
      <c r="L72" s="9" t="s">
        <v>25</v>
      </c>
    </row>
    <row r="73" spans="1:12" ht="4.95" customHeight="1" x14ac:dyDescent="0.3"/>
    <row r="74" spans="1:12" x14ac:dyDescent="0.3">
      <c r="D74" s="1" t="s">
        <v>104</v>
      </c>
      <c r="E74" s="14">
        <f t="shared" ref="E74:L74" si="22">(1-28%)*E26</f>
        <v>9.1445485090909067</v>
      </c>
      <c r="F74" s="14">
        <f t="shared" si="22"/>
        <v>0.37701824319452953</v>
      </c>
      <c r="G74" s="14">
        <f t="shared" si="22"/>
        <v>1.739620020048785</v>
      </c>
      <c r="H74" s="14">
        <f t="shared" si="22"/>
        <v>4.3786551925503092</v>
      </c>
      <c r="I74" s="14">
        <f t="shared" si="22"/>
        <v>6.464057766630674</v>
      </c>
      <c r="J74" s="14">
        <f t="shared" si="22"/>
        <v>9.5363238971384447</v>
      </c>
      <c r="K74" s="14">
        <f t="shared" si="22"/>
        <v>11.849450526334692</v>
      </c>
      <c r="L74" s="14">
        <f t="shared" si="22"/>
        <v>14.377200180198436</v>
      </c>
    </row>
    <row r="75" spans="1:12" x14ac:dyDescent="0.3">
      <c r="D75" s="5" t="s">
        <v>9</v>
      </c>
      <c r="E75" s="16">
        <f t="shared" ref="E75:L75" si="23">E20</f>
        <v>150.297</v>
      </c>
      <c r="F75" s="16">
        <f t="shared" si="23"/>
        <v>118.50918449999999</v>
      </c>
      <c r="G75" s="16">
        <f t="shared" si="23"/>
        <v>126.87593292569998</v>
      </c>
      <c r="H75" s="16">
        <f t="shared" si="23"/>
        <v>137.38633520926498</v>
      </c>
      <c r="I75" s="16">
        <f t="shared" si="23"/>
        <v>150.30614617234428</v>
      </c>
      <c r="J75" s="16">
        <f t="shared" si="23"/>
        <v>164.7655974341238</v>
      </c>
      <c r="K75" s="16">
        <f t="shared" si="23"/>
        <v>175.25292771080578</v>
      </c>
      <c r="L75" s="16">
        <f t="shared" si="23"/>
        <v>186.40777655959855</v>
      </c>
    </row>
    <row r="76" spans="1:12" x14ac:dyDescent="0.3">
      <c r="D76" s="45" t="s">
        <v>106</v>
      </c>
      <c r="E76" s="124">
        <f>E74/E75</f>
        <v>6.0843187216583876E-2</v>
      </c>
      <c r="F76" s="124">
        <f t="shared" ref="F76:L76" si="24">F74/F75</f>
        <v>3.1813419760265888E-3</v>
      </c>
      <c r="G76" s="124">
        <f t="shared" si="24"/>
        <v>1.3711189978540112E-2</v>
      </c>
      <c r="H76" s="124">
        <f t="shared" si="24"/>
        <v>3.187111138732103E-2</v>
      </c>
      <c r="I76" s="124">
        <f t="shared" si="24"/>
        <v>4.300594440907856E-2</v>
      </c>
      <c r="J76" s="124">
        <f t="shared" si="24"/>
        <v>5.7878125322558524E-2</v>
      </c>
      <c r="K76" s="124">
        <f t="shared" si="24"/>
        <v>6.7613424101468381E-2</v>
      </c>
      <c r="L76" s="124">
        <f t="shared" si="24"/>
        <v>7.7127684507313124E-2</v>
      </c>
    </row>
    <row r="77" spans="1:12" ht="4.95" customHeight="1" x14ac:dyDescent="0.3"/>
    <row r="78" spans="1:12" x14ac:dyDescent="0.3">
      <c r="D78" s="1" t="s">
        <v>9</v>
      </c>
      <c r="E78" s="14">
        <f t="shared" ref="E78:L78" si="25">E20</f>
        <v>150.297</v>
      </c>
      <c r="F78" s="14">
        <f t="shared" si="25"/>
        <v>118.50918449999999</v>
      </c>
      <c r="G78" s="14">
        <f t="shared" si="25"/>
        <v>126.87593292569998</v>
      </c>
      <c r="H78" s="14">
        <f t="shared" si="25"/>
        <v>137.38633520926498</v>
      </c>
      <c r="I78" s="14">
        <f t="shared" si="25"/>
        <v>150.30614617234428</v>
      </c>
      <c r="J78" s="14">
        <f t="shared" si="25"/>
        <v>164.7655974341238</v>
      </c>
      <c r="K78" s="14">
        <f t="shared" si="25"/>
        <v>175.25292771080578</v>
      </c>
      <c r="L78" s="14">
        <f t="shared" si="25"/>
        <v>186.40777655959855</v>
      </c>
    </row>
    <row r="79" spans="1:12" x14ac:dyDescent="0.3">
      <c r="D79" s="5" t="s">
        <v>32</v>
      </c>
      <c r="E79" s="86">
        <f>E59</f>
        <v>102.54455</v>
      </c>
      <c r="F79" s="86">
        <f t="shared" ref="F79:L79" si="26">F59</f>
        <v>98.476659219772728</v>
      </c>
      <c r="G79" s="86">
        <f t="shared" si="26"/>
        <v>100.48139290546139</v>
      </c>
      <c r="H79" s="86">
        <f t="shared" si="26"/>
        <v>102.86978159241451</v>
      </c>
      <c r="I79" s="86">
        <f t="shared" si="26"/>
        <v>105.69592591880389</v>
      </c>
      <c r="J79" s="86">
        <f t="shared" si="26"/>
        <v>108.83845850199972</v>
      </c>
      <c r="K79" s="86">
        <f t="shared" si="26"/>
        <v>111.44714352542952</v>
      </c>
      <c r="L79" s="86">
        <f t="shared" si="26"/>
        <v>114.22187135060061</v>
      </c>
    </row>
    <row r="80" spans="1:12" x14ac:dyDescent="0.3">
      <c r="D80" s="45" t="s">
        <v>166</v>
      </c>
      <c r="E80" s="87">
        <f>E78/E79</f>
        <v>1.4656751626488194</v>
      </c>
      <c r="F80" s="87">
        <f t="shared" ref="F80:L80" si="27">F78/F79</f>
        <v>1.2034240949981883</v>
      </c>
      <c r="G80" s="87">
        <f t="shared" si="27"/>
        <v>1.2626808731152053</v>
      </c>
      <c r="H80" s="87">
        <f t="shared" si="27"/>
        <v>1.3355363750417031</v>
      </c>
      <c r="I80" s="87">
        <f t="shared" si="27"/>
        <v>1.4220618710300166</v>
      </c>
      <c r="J80" s="87">
        <f t="shared" si="27"/>
        <v>1.5138545666842251</v>
      </c>
      <c r="K80" s="87">
        <f t="shared" si="27"/>
        <v>1.5725205883883182</v>
      </c>
      <c r="L80" s="87">
        <f t="shared" si="27"/>
        <v>1.631979710675773</v>
      </c>
    </row>
    <row r="81" spans="4:12" ht="4.95" customHeight="1" x14ac:dyDescent="0.3">
      <c r="D81" s="84"/>
      <c r="E81" s="84"/>
      <c r="F81" s="84"/>
      <c r="G81" s="84"/>
      <c r="H81" s="84"/>
      <c r="I81" s="84"/>
      <c r="J81" s="84"/>
      <c r="K81" s="84"/>
      <c r="L81" s="84"/>
    </row>
    <row r="82" spans="4:12" x14ac:dyDescent="0.3">
      <c r="D82" s="78" t="s">
        <v>26</v>
      </c>
      <c r="E82" s="123">
        <f>E76*E80</f>
        <v>8.917634831973914E-2</v>
      </c>
      <c r="F82" s="123">
        <f t="shared" ref="F82:L82" si="28">F76*F80</f>
        <v>3.8285035883795456E-3</v>
      </c>
      <c r="G82" s="123">
        <f t="shared" si="28"/>
        <v>1.7312857333551483E-2</v>
      </c>
      <c r="H82" s="123">
        <f t="shared" si="28"/>
        <v>4.2565028570773072E-2</v>
      </c>
      <c r="I82" s="123">
        <f t="shared" si="28"/>
        <v>6.115711377178714E-2</v>
      </c>
      <c r="J82" s="123">
        <f t="shared" si="28"/>
        <v>8.7619064330677107E-2</v>
      </c>
      <c r="K82" s="123">
        <f t="shared" si="28"/>
        <v>0.10632350145098995</v>
      </c>
      <c r="L82" s="123">
        <f t="shared" si="28"/>
        <v>0.12587081624733717</v>
      </c>
    </row>
    <row r="83" spans="4:12" ht="4.95" customHeight="1" thickBot="1" x14ac:dyDescent="0.35">
      <c r="D83" s="89"/>
      <c r="E83" s="89"/>
      <c r="F83" s="89"/>
      <c r="G83" s="89"/>
      <c r="H83" s="89"/>
      <c r="I83" s="89"/>
      <c r="J83" s="89"/>
      <c r="K83" s="89"/>
      <c r="L83" s="89"/>
    </row>
    <row r="84" spans="4:12" x14ac:dyDescent="0.3">
      <c r="E84" s="70"/>
      <c r="F84" s="70"/>
      <c r="G84" s="70"/>
      <c r="H84" s="70"/>
      <c r="I84" s="70"/>
      <c r="J84" s="70"/>
      <c r="K84" s="70"/>
      <c r="L84" s="70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7E72A-53C9-7A4B-B812-D3D219DE79B9}">
  <dimension ref="A3:M59"/>
  <sheetViews>
    <sheetView showGridLines="0" tabSelected="1" workbookViewId="0">
      <selection activeCell="E37" sqref="E37"/>
    </sheetView>
  </sheetViews>
  <sheetFormatPr baseColWidth="10" defaultColWidth="10.796875" defaultRowHeight="15.6" x14ac:dyDescent="0.3"/>
  <cols>
    <col min="1" max="3" width="5.796875" style="1" customWidth="1"/>
    <col min="4" max="4" width="33.296875" style="1" bestFit="1" customWidth="1"/>
    <col min="5" max="5" width="18.5" style="1" bestFit="1" customWidth="1"/>
    <col min="6" max="18" width="10.796875" style="1"/>
    <col min="19" max="19" width="13.19921875" style="1" bestFit="1" customWidth="1"/>
    <col min="20" max="16384" width="10.796875" style="1"/>
  </cols>
  <sheetData>
    <row r="3" spans="1:13" s="21" customFormat="1" x14ac:dyDescent="0.3">
      <c r="A3" s="1"/>
      <c r="B3" s="19">
        <f>MAX($B$1:$B2)+1</f>
        <v>1</v>
      </c>
      <c r="C3" s="1"/>
      <c r="D3" s="20" t="s">
        <v>182</v>
      </c>
    </row>
    <row r="5" spans="1:13" x14ac:dyDescent="0.3">
      <c r="E5" s="138" t="s">
        <v>161</v>
      </c>
      <c r="F5" s="138"/>
      <c r="G5" s="138"/>
      <c r="H5" s="138"/>
      <c r="I5" s="138"/>
      <c r="J5" s="138"/>
      <c r="K5" s="139" t="s">
        <v>162</v>
      </c>
      <c r="L5" s="139"/>
    </row>
    <row r="6" spans="1:13" ht="16.2" thickBot="1" x14ac:dyDescent="0.35">
      <c r="D6" s="4" t="s">
        <v>61</v>
      </c>
      <c r="E6" s="66">
        <v>2021</v>
      </c>
      <c r="F6" s="66">
        <f>E6+1</f>
        <v>2022</v>
      </c>
      <c r="G6" s="66">
        <f>F6+1</f>
        <v>2023</v>
      </c>
      <c r="H6" s="66">
        <f>G6+1</f>
        <v>2024</v>
      </c>
      <c r="I6" s="66">
        <f>H6+1</f>
        <v>2025</v>
      </c>
      <c r="J6" s="66">
        <f>I6+1</f>
        <v>2026</v>
      </c>
      <c r="K6" s="66">
        <f t="shared" ref="K6:L6" si="0">J6+1</f>
        <v>2027</v>
      </c>
      <c r="L6" s="66">
        <f t="shared" si="0"/>
        <v>2028</v>
      </c>
      <c r="M6" s="126"/>
    </row>
    <row r="7" spans="1:13" ht="4.95" customHeight="1" x14ac:dyDescent="0.3"/>
    <row r="8" spans="1:13" x14ac:dyDescent="0.3">
      <c r="D8" s="3" t="s">
        <v>13</v>
      </c>
      <c r="E8" s="127">
        <f>'Plan d''affaires alternatif'!G26</f>
        <v>2.4161389167344236</v>
      </c>
      <c r="F8" s="127">
        <f>'Plan d''affaires alternatif'!H26</f>
        <v>6.0814655452087631</v>
      </c>
      <c r="G8" s="127">
        <f>'Plan d''affaires alternatif'!I26</f>
        <v>8.9778580092092692</v>
      </c>
      <c r="H8" s="127">
        <f>'Plan d''affaires alternatif'!J26</f>
        <v>13.244894301581173</v>
      </c>
      <c r="I8" s="127">
        <f>'Plan d''affaires alternatif'!K26</f>
        <v>16.457570175464852</v>
      </c>
      <c r="J8" s="127">
        <f>'Plan d''affaires alternatif'!L26</f>
        <v>19.968333583608938</v>
      </c>
      <c r="K8" s="127">
        <v>19.386408762198251</v>
      </c>
      <c r="L8" s="127">
        <v>18.969600973810987</v>
      </c>
    </row>
    <row r="9" spans="1:13" x14ac:dyDescent="0.3">
      <c r="D9" s="50" t="s">
        <v>62</v>
      </c>
      <c r="E9" s="128">
        <f>-'Plan d''affaires alternatif'!G25</f>
        <v>7.4972142183368167</v>
      </c>
      <c r="F9" s="128">
        <f>-'Plan d''affaires alternatif'!H25</f>
        <v>8.1182834441838398</v>
      </c>
      <c r="G9" s="128">
        <f>-'Plan d''affaires alternatif'!I25</f>
        <v>8.8817268192748902</v>
      </c>
      <c r="H9" s="128">
        <f>-'Plan d''affaires alternatif'!J25</f>
        <v>9.7361489392891336</v>
      </c>
      <c r="I9" s="128">
        <f>-'Plan d''affaires alternatif'!K25</f>
        <v>10.355854819274887</v>
      </c>
      <c r="J9" s="128">
        <f>-'Plan d''affaires alternatif'!L25</f>
        <v>11.015004978521732</v>
      </c>
      <c r="K9" s="128">
        <v>11.631845257318949</v>
      </c>
      <c r="L9" s="128">
        <v>11.980800615038518</v>
      </c>
    </row>
    <row r="10" spans="1:13" ht="4.95" customHeight="1" x14ac:dyDescent="0.3">
      <c r="D10" s="5"/>
      <c r="E10" s="129"/>
      <c r="F10" s="129"/>
      <c r="G10" s="129"/>
      <c r="H10" s="129"/>
      <c r="I10" s="129"/>
      <c r="J10" s="129"/>
      <c r="K10" s="129"/>
      <c r="L10" s="129"/>
    </row>
    <row r="11" spans="1:13" ht="4.95" customHeight="1" x14ac:dyDescent="0.3">
      <c r="E11" s="128"/>
      <c r="F11" s="128"/>
      <c r="G11" s="128"/>
      <c r="H11" s="128"/>
      <c r="I11" s="128"/>
      <c r="J11" s="128"/>
      <c r="K11" s="128"/>
      <c r="L11" s="128"/>
    </row>
    <row r="12" spans="1:13" x14ac:dyDescent="0.3">
      <c r="D12" s="3" t="s">
        <v>14</v>
      </c>
      <c r="E12" s="127">
        <f t="shared" ref="E12:I12" si="1">E8+E9</f>
        <v>9.9133531350712403</v>
      </c>
      <c r="F12" s="127">
        <f t="shared" si="1"/>
        <v>14.199748989392603</v>
      </c>
      <c r="G12" s="127">
        <f t="shared" si="1"/>
        <v>17.859584828484159</v>
      </c>
      <c r="H12" s="127">
        <f t="shared" si="1"/>
        <v>22.981043240870306</v>
      </c>
      <c r="I12" s="127">
        <f t="shared" si="1"/>
        <v>26.813424994739741</v>
      </c>
      <c r="J12" s="127">
        <f>J8+J9</f>
        <v>30.983338562130669</v>
      </c>
      <c r="K12" s="127">
        <f t="shared" ref="K12:L12" si="2">K8+K9</f>
        <v>31.018254019517201</v>
      </c>
      <c r="L12" s="127">
        <f t="shared" si="2"/>
        <v>30.950401588849505</v>
      </c>
    </row>
    <row r="13" spans="1:13" x14ac:dyDescent="0.3">
      <c r="D13" s="67" t="s">
        <v>164</v>
      </c>
      <c r="E13" s="128">
        <f>-28%*E8</f>
        <v>-0.67651889668563869</v>
      </c>
      <c r="F13" s="128">
        <f t="shared" ref="F13:J13" si="3">-28%*F8</f>
        <v>-1.7028103526584539</v>
      </c>
      <c r="G13" s="128">
        <f t="shared" si="3"/>
        <v>-2.5138002425785957</v>
      </c>
      <c r="H13" s="128">
        <f t="shared" si="3"/>
        <v>-3.7085704044427286</v>
      </c>
      <c r="I13" s="128">
        <f t="shared" si="3"/>
        <v>-4.6081196491301588</v>
      </c>
      <c r="J13" s="128">
        <f t="shared" si="3"/>
        <v>-5.5911334034105034</v>
      </c>
      <c r="K13" s="128">
        <f>-K8*28%</f>
        <v>-5.4281944534155109</v>
      </c>
      <c r="L13" s="128">
        <f>-L8*28%</f>
        <v>-5.3114882726670771</v>
      </c>
    </row>
    <row r="14" spans="1:13" x14ac:dyDescent="0.3">
      <c r="D14" s="67" t="s">
        <v>77</v>
      </c>
      <c r="E14" s="128">
        <f>'Plan d''affaires alternatif'!G40</f>
        <v>-8.2469356401704985</v>
      </c>
      <c r="F14" s="128">
        <f>'Plan d''affaires alternatif'!H40</f>
        <v>-8.9301117886022237</v>
      </c>
      <c r="G14" s="128">
        <f>'Plan d''affaires alternatif'!I40</f>
        <v>-9.7698995012023797</v>
      </c>
      <c r="H14" s="128">
        <f>'Plan d''affaires alternatif'!J40</f>
        <v>-10.709763833218048</v>
      </c>
      <c r="I14" s="128">
        <f>'Plan d''affaires alternatif'!K40</f>
        <v>-11.391440301202376</v>
      </c>
      <c r="J14" s="128">
        <f>'Plan d''affaires alternatif'!L40</f>
        <v>-12.116505476373906</v>
      </c>
      <c r="K14" s="128">
        <v>-12.601165695428863</v>
      </c>
      <c r="L14" s="128">
        <v>-12.979200666291728</v>
      </c>
    </row>
    <row r="15" spans="1:13" x14ac:dyDescent="0.3">
      <c r="D15" s="67" t="s">
        <v>64</v>
      </c>
      <c r="E15" s="128">
        <f>'Plan d''affaires alternatif'!G41</f>
        <v>-1.2550122638549972</v>
      </c>
      <c r="F15" s="128">
        <f>'Plan d''affaires alternatif'!H41</f>
        <v>-1.5765603425347514</v>
      </c>
      <c r="G15" s="128">
        <f>'Plan d''affaires alternatif'!I41</f>
        <v>-1.9379716444618929</v>
      </c>
      <c r="H15" s="128">
        <f>'Plan d''affaires alternatif'!J41</f>
        <v>-2.1689176892669302</v>
      </c>
      <c r="I15" s="128">
        <f>'Plan d''affaires alternatif'!K41</f>
        <v>-1.5730995415022946</v>
      </c>
      <c r="J15" s="128">
        <f>'Plan d''affaires alternatif'!L41</f>
        <v>-1.6732273273189158</v>
      </c>
      <c r="K15" s="128">
        <v>-1.1184466593575912</v>
      </c>
      <c r="L15" s="128">
        <v>-0.87238839429892323</v>
      </c>
    </row>
    <row r="16" spans="1:13" ht="4.95" customHeight="1" x14ac:dyDescent="0.3">
      <c r="D16" s="5"/>
      <c r="E16" s="129"/>
      <c r="F16" s="129"/>
      <c r="G16" s="129"/>
      <c r="H16" s="129"/>
      <c r="I16" s="129"/>
      <c r="J16" s="129"/>
      <c r="K16" s="129"/>
      <c r="L16" s="129"/>
    </row>
    <row r="17" spans="1:12" ht="4.95" customHeight="1" x14ac:dyDescent="0.3">
      <c r="E17" s="128"/>
      <c r="F17" s="128"/>
      <c r="G17" s="128"/>
      <c r="H17" s="128"/>
      <c r="I17" s="128"/>
      <c r="J17" s="128"/>
      <c r="K17" s="128"/>
      <c r="L17" s="128"/>
    </row>
    <row r="18" spans="1:12" x14ac:dyDescent="0.3">
      <c r="D18" s="3" t="s">
        <v>65</v>
      </c>
      <c r="E18" s="127">
        <f t="shared" ref="E18:L18" si="4">SUM(E12:E15)</f>
        <v>-0.26511366563989469</v>
      </c>
      <c r="F18" s="127">
        <f t="shared" si="4"/>
        <v>1.9902665055971749</v>
      </c>
      <c r="G18" s="127">
        <f t="shared" si="4"/>
        <v>3.6379134402412916</v>
      </c>
      <c r="H18" s="127">
        <f t="shared" si="4"/>
        <v>6.3937913139426001</v>
      </c>
      <c r="I18" s="127">
        <f t="shared" si="4"/>
        <v>9.2407655029049103</v>
      </c>
      <c r="J18" s="127">
        <f t="shared" si="4"/>
        <v>11.602472355027345</v>
      </c>
      <c r="K18" s="127">
        <f t="shared" si="4"/>
        <v>11.870447211315236</v>
      </c>
      <c r="L18" s="127">
        <f t="shared" si="4"/>
        <v>11.787324255591777</v>
      </c>
    </row>
    <row r="19" spans="1:12" x14ac:dyDescent="0.3">
      <c r="D19" s="1" t="s">
        <v>167</v>
      </c>
      <c r="E19" s="64">
        <f t="shared" ref="E19:J19" si="5">1/(1+$E$27)^(E6-2020)</f>
        <v>0.92165898617511521</v>
      </c>
      <c r="F19" s="64">
        <f t="shared" si="5"/>
        <v>0.84945528679734128</v>
      </c>
      <c r="G19" s="64">
        <f t="shared" si="5"/>
        <v>0.78290809843072917</v>
      </c>
      <c r="H19" s="64">
        <f t="shared" si="5"/>
        <v>0.72157428426795334</v>
      </c>
      <c r="I19" s="64">
        <f t="shared" si="5"/>
        <v>0.66504542328843619</v>
      </c>
      <c r="J19" s="64">
        <f t="shared" si="5"/>
        <v>0.6129450905884205</v>
      </c>
      <c r="K19" s="64">
        <f t="shared" ref="K19:L19" si="6">1/(1+$E$27)^(K6-2020)</f>
        <v>0.56492635077273778</v>
      </c>
      <c r="L19" s="64">
        <f t="shared" si="6"/>
        <v>0.52066944771680901</v>
      </c>
    </row>
    <row r="20" spans="1:12" ht="4.95" customHeight="1" x14ac:dyDescent="0.3">
      <c r="D20" s="5"/>
      <c r="E20" s="5"/>
      <c r="F20" s="5"/>
      <c r="G20" s="5"/>
      <c r="H20" s="5"/>
      <c r="I20" s="5"/>
      <c r="J20" s="5"/>
      <c r="K20" s="5"/>
      <c r="L20" s="5"/>
    </row>
    <row r="21" spans="1:12" ht="4.95" customHeight="1" x14ac:dyDescent="0.3"/>
    <row r="22" spans="1:12" x14ac:dyDescent="0.3">
      <c r="D22" s="3" t="s">
        <v>66</v>
      </c>
      <c r="E22" s="130">
        <f t="shared" ref="E22:L22" si="7">E18*E19</f>
        <v>-0.24434439229483382</v>
      </c>
      <c r="F22" s="130">
        <f t="shared" si="7"/>
        <v>1.6906424053151905</v>
      </c>
      <c r="G22" s="130">
        <f t="shared" si="7"/>
        <v>2.8481518937549017</v>
      </c>
      <c r="H22" s="130">
        <f t="shared" si="7"/>
        <v>4.6135953911167888</v>
      </c>
      <c r="I22" s="130">
        <f t="shared" si="7"/>
        <v>6.145528805388575</v>
      </c>
      <c r="J22" s="130">
        <f>J18*J19</f>
        <v>7.1116784687018804</v>
      </c>
      <c r="K22" s="130">
        <f>K18*K19</f>
        <v>6.7059284251287377</v>
      </c>
      <c r="L22" s="130">
        <f t="shared" si="7"/>
        <v>6.1372996102179176</v>
      </c>
    </row>
    <row r="23" spans="1:12" ht="4.95" customHeight="1" thickBot="1" x14ac:dyDescent="0.35"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16.2" thickBot="1" x14ac:dyDescent="0.35"/>
    <row r="25" spans="1:12" ht="31.8" thickBot="1" x14ac:dyDescent="0.35">
      <c r="D25" s="68" t="s">
        <v>168</v>
      </c>
      <c r="E25" s="131">
        <f>SUM(E22:L22)</f>
        <v>35.008480607329162</v>
      </c>
    </row>
    <row r="26" spans="1:12" ht="16.2" thickBot="1" x14ac:dyDescent="0.35"/>
    <row r="27" spans="1:12" ht="16.2" thickBot="1" x14ac:dyDescent="0.35">
      <c r="D27" s="69" t="s">
        <v>6</v>
      </c>
      <c r="E27" s="125">
        <v>8.5000000000000006E-2</v>
      </c>
    </row>
    <row r="30" spans="1:12" s="21" customFormat="1" x14ac:dyDescent="0.3">
      <c r="A30" s="1"/>
      <c r="B30" s="19">
        <f>MAX($B$1:$B29)+1</f>
        <v>2</v>
      </c>
      <c r="C30" s="1"/>
      <c r="D30" s="20" t="s">
        <v>183</v>
      </c>
    </row>
    <row r="32" spans="1:12" ht="16.2" thickBot="1" x14ac:dyDescent="0.35">
      <c r="D32" s="4" t="s">
        <v>61</v>
      </c>
      <c r="E32" s="4" t="s">
        <v>169</v>
      </c>
    </row>
    <row r="33" spans="4:6" ht="4.95" customHeight="1" x14ac:dyDescent="0.3"/>
    <row r="34" spans="4:6" x14ac:dyDescent="0.3">
      <c r="D34" s="3" t="s">
        <v>9</v>
      </c>
      <c r="E34" s="130">
        <v>200</v>
      </c>
    </row>
    <row r="35" spans="4:6" x14ac:dyDescent="0.3">
      <c r="D35" s="3" t="s">
        <v>14</v>
      </c>
      <c r="E35" s="130">
        <f>E36*E34</f>
        <v>30</v>
      </c>
    </row>
    <row r="36" spans="4:6" x14ac:dyDescent="0.3">
      <c r="D36" s="2" t="s">
        <v>67</v>
      </c>
      <c r="E36" s="13">
        <v>0.15</v>
      </c>
    </row>
    <row r="37" spans="4:6" x14ac:dyDescent="0.3">
      <c r="D37" s="50" t="s">
        <v>68</v>
      </c>
      <c r="E37" s="57">
        <f>E42/1.15</f>
        <v>-9.5625237199992856</v>
      </c>
    </row>
    <row r="38" spans="4:6" ht="4.95" customHeight="1" x14ac:dyDescent="0.3">
      <c r="D38" s="5"/>
      <c r="E38" s="137"/>
    </row>
    <row r="39" spans="4:6" ht="4.95" customHeight="1" x14ac:dyDescent="0.3">
      <c r="E39" s="57"/>
    </row>
    <row r="40" spans="4:6" x14ac:dyDescent="0.3">
      <c r="D40" s="3" t="s">
        <v>13</v>
      </c>
      <c r="E40" s="130">
        <f>E35+E37</f>
        <v>20.437476280000716</v>
      </c>
    </row>
    <row r="41" spans="4:6" x14ac:dyDescent="0.3">
      <c r="D41" s="67" t="s">
        <v>164</v>
      </c>
      <c r="E41" s="57">
        <f>-E40*28%</f>
        <v>-5.7224933584002011</v>
      </c>
    </row>
    <row r="42" spans="4:6" x14ac:dyDescent="0.3">
      <c r="D42" s="67" t="s">
        <v>63</v>
      </c>
      <c r="E42" s="57">
        <v>-10.996902277999178</v>
      </c>
    </row>
    <row r="43" spans="4:6" x14ac:dyDescent="0.3">
      <c r="D43" s="67" t="s">
        <v>64</v>
      </c>
      <c r="E43" s="57">
        <v>-1.2245274054109672</v>
      </c>
    </row>
    <row r="44" spans="4:6" ht="4.95" customHeight="1" x14ac:dyDescent="0.3">
      <c r="D44" s="5"/>
      <c r="E44" s="137"/>
    </row>
    <row r="45" spans="4:6" ht="4.95" customHeight="1" x14ac:dyDescent="0.3">
      <c r="E45" s="57"/>
    </row>
    <row r="46" spans="4:6" x14ac:dyDescent="0.3">
      <c r="D46" s="3" t="s">
        <v>65</v>
      </c>
      <c r="E46" s="130">
        <f>E35+SUM(E41:E43)</f>
        <v>12.056076958189653</v>
      </c>
    </row>
    <row r="47" spans="4:6" ht="4.95" customHeight="1" x14ac:dyDescent="0.3">
      <c r="D47" s="3"/>
      <c r="E47" s="57"/>
    </row>
    <row r="48" spans="4:6" x14ac:dyDescent="0.3">
      <c r="D48" s="3" t="s">
        <v>69</v>
      </c>
      <c r="E48" s="57"/>
      <c r="F48" s="14"/>
    </row>
    <row r="49" spans="4:5" ht="4.95" customHeight="1" x14ac:dyDescent="0.3">
      <c r="E49" s="57"/>
    </row>
    <row r="50" spans="4:5" x14ac:dyDescent="0.3">
      <c r="D50" s="1" t="s">
        <v>70</v>
      </c>
      <c r="E50" s="65">
        <v>9.6500000000000006E-3</v>
      </c>
    </row>
    <row r="51" spans="4:5" x14ac:dyDescent="0.3">
      <c r="D51" s="1" t="s">
        <v>6</v>
      </c>
      <c r="E51" s="65">
        <v>8.5000000000000006E-2</v>
      </c>
    </row>
    <row r="52" spans="4:5" x14ac:dyDescent="0.3">
      <c r="D52" s="3" t="s">
        <v>163</v>
      </c>
      <c r="E52" s="130">
        <f>E46/(E51-E50)</f>
        <v>160.00102134292837</v>
      </c>
    </row>
    <row r="53" spans="4:5" ht="4.95" customHeight="1" x14ac:dyDescent="0.3">
      <c r="D53" s="5"/>
      <c r="E53" s="137"/>
    </row>
    <row r="54" spans="4:5" ht="4.95" customHeight="1" x14ac:dyDescent="0.3">
      <c r="E54" s="57"/>
    </row>
    <row r="55" spans="4:5" x14ac:dyDescent="0.3">
      <c r="D55" s="3" t="s">
        <v>71</v>
      </c>
      <c r="E55" s="130">
        <f>E52/(1+E51)^8</f>
        <v>83.307643416747894</v>
      </c>
    </row>
    <row r="56" spans="4:5" ht="4.95" customHeight="1" x14ac:dyDescent="0.3">
      <c r="D56" s="5"/>
      <c r="E56" s="137"/>
    </row>
    <row r="57" spans="4:5" ht="4.95" customHeight="1" x14ac:dyDescent="0.3">
      <c r="E57" s="57"/>
    </row>
    <row r="58" spans="4:5" x14ac:dyDescent="0.3">
      <c r="D58" s="3" t="s">
        <v>37</v>
      </c>
      <c r="E58" s="130">
        <f>E55+E25</f>
        <v>118.31612402407706</v>
      </c>
    </row>
    <row r="59" spans="4:5" ht="4.95" customHeight="1" thickBot="1" x14ac:dyDescent="0.35">
      <c r="D59" s="17"/>
      <c r="E59" s="17"/>
    </row>
  </sheetData>
  <mergeCells count="2">
    <mergeCell ref="E5:J5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Etats financiers (Standard)</vt:lpstr>
      <vt:lpstr>Plan d'affaires initial</vt:lpstr>
      <vt:lpstr>Plan d'affaires alternatif</vt:lpstr>
      <vt:lpstr>Modèle DCF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Edmond Buchart</cp:lastModifiedBy>
  <dcterms:created xsi:type="dcterms:W3CDTF">2020-11-05T11:52:53Z</dcterms:created>
  <dcterms:modified xsi:type="dcterms:W3CDTF">2021-10-09T09:51:36Z</dcterms:modified>
</cp:coreProperties>
</file>